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19440" windowHeight="11445"/>
  </bookViews>
  <sheets>
    <sheet name="Modèle Budget 2017-2018" sheetId="1" r:id="rId1"/>
    <sheet name="Feuil1" sheetId="2" r:id="rId2"/>
  </sheets>
  <definedNames>
    <definedName name="_xlnm.Print_Titles" localSheetId="0">'Modèle Budget 2017-2018'!$A:$D,'Modèle Budget 2017-2018'!$1:$6</definedName>
    <definedName name="_xlnm.Print_Area" localSheetId="0">'Modèle Budget 2017-2018'!$B$1:$T$69</definedName>
  </definedNames>
  <calcPr calcId="162913"/>
</workbook>
</file>

<file path=xl/calcChain.xml><?xml version="1.0" encoding="utf-8"?>
<calcChain xmlns="http://schemas.openxmlformats.org/spreadsheetml/2006/main">
  <c r="Q50" i="1"/>
  <c r="Q51" l="1"/>
  <c r="Q34"/>
  <c r="Q48" l="1"/>
  <c r="Q24" l="1"/>
  <c r="M15" l="1"/>
  <c r="P32" l="1"/>
  <c r="P17" l="1"/>
  <c r="P22" l="1"/>
  <c r="O48" l="1"/>
  <c r="O17" l="1"/>
  <c r="M50" l="1"/>
  <c r="M55"/>
  <c r="M51"/>
  <c r="O50" l="1"/>
  <c r="N48" l="1"/>
  <c r="N51"/>
  <c r="N24" l="1"/>
  <c r="N50" l="1"/>
  <c r="M48" l="1"/>
  <c r="M34" l="1"/>
  <c r="L48" l="1"/>
  <c r="L18" l="1"/>
  <c r="L20"/>
  <c r="L17"/>
  <c r="L34" l="1"/>
  <c r="K48"/>
  <c r="J18"/>
  <c r="J17"/>
  <c r="J34"/>
  <c r="E20"/>
  <c r="E17"/>
  <c r="E37"/>
  <c r="E18"/>
  <c r="F13" l="1"/>
  <c r="F25" l="1"/>
  <c r="G25" s="1"/>
  <c r="F58"/>
  <c r="G58" s="1"/>
  <c r="F59"/>
  <c r="G59" s="1"/>
  <c r="H66" l="1"/>
  <c r="F66"/>
  <c r="G66" s="1"/>
  <c r="T65"/>
  <c r="S65"/>
  <c r="R65"/>
  <c r="Q65"/>
  <c r="P65"/>
  <c r="O65"/>
  <c r="N65"/>
  <c r="M65"/>
  <c r="L65"/>
  <c r="K65"/>
  <c r="J65"/>
  <c r="I65"/>
  <c r="E65"/>
  <c r="H65" s="1"/>
  <c r="H64"/>
  <c r="F64"/>
  <c r="G64" s="1"/>
  <c r="T63"/>
  <c r="S63"/>
  <c r="R63"/>
  <c r="Q63"/>
  <c r="P63"/>
  <c r="O63"/>
  <c r="N63"/>
  <c r="M63"/>
  <c r="L63"/>
  <c r="K63"/>
  <c r="J63"/>
  <c r="I63"/>
  <c r="E63"/>
  <c r="H63" s="1"/>
  <c r="H62"/>
  <c r="F62"/>
  <c r="G62" s="1"/>
  <c r="H61"/>
  <c r="F61"/>
  <c r="G61" s="1"/>
  <c r="H60"/>
  <c r="F60"/>
  <c r="G60" s="1"/>
  <c r="F57"/>
  <c r="G57" s="1"/>
  <c r="H56"/>
  <c r="F56"/>
  <c r="G56" s="1"/>
  <c r="F55"/>
  <c r="G55" s="1"/>
  <c r="F54"/>
  <c r="G54" s="1"/>
  <c r="H53"/>
  <c r="F53"/>
  <c r="G53" s="1"/>
  <c r="H52"/>
  <c r="F52"/>
  <c r="G52" s="1"/>
  <c r="F51"/>
  <c r="G51" s="1"/>
  <c r="F50"/>
  <c r="G50" s="1"/>
  <c r="T49"/>
  <c r="S49"/>
  <c r="R49"/>
  <c r="Q49"/>
  <c r="P49"/>
  <c r="O49"/>
  <c r="N49"/>
  <c r="M49"/>
  <c r="L49"/>
  <c r="K49"/>
  <c r="J49"/>
  <c r="I49"/>
  <c r="F48"/>
  <c r="G48" s="1"/>
  <c r="F47"/>
  <c r="G47" s="1"/>
  <c r="H46"/>
  <c r="F46"/>
  <c r="G46" s="1"/>
  <c r="H45"/>
  <c r="F45"/>
  <c r="G45" s="1"/>
  <c r="T44"/>
  <c r="S44"/>
  <c r="R44"/>
  <c r="Q44"/>
  <c r="P44"/>
  <c r="O44"/>
  <c r="N44"/>
  <c r="M44"/>
  <c r="L44"/>
  <c r="K44"/>
  <c r="J44"/>
  <c r="I44"/>
  <c r="E44"/>
  <c r="H43"/>
  <c r="F43"/>
  <c r="G43" s="1"/>
  <c r="H42"/>
  <c r="F42"/>
  <c r="G42" s="1"/>
  <c r="H41"/>
  <c r="F41"/>
  <c r="G41" s="1"/>
  <c r="F40"/>
  <c r="G40" s="1"/>
  <c r="T39"/>
  <c r="S39"/>
  <c r="R39"/>
  <c r="Q39"/>
  <c r="P39"/>
  <c r="O39"/>
  <c r="N39"/>
  <c r="M39"/>
  <c r="L39"/>
  <c r="K39"/>
  <c r="J39"/>
  <c r="I39"/>
  <c r="E39"/>
  <c r="H38"/>
  <c r="F38"/>
  <c r="G38" s="1"/>
  <c r="F37"/>
  <c r="G37" s="1"/>
  <c r="F36"/>
  <c r="G36" s="1"/>
  <c r="T35"/>
  <c r="S35"/>
  <c r="R35"/>
  <c r="Q35"/>
  <c r="P35"/>
  <c r="O35"/>
  <c r="N35"/>
  <c r="M35"/>
  <c r="L35"/>
  <c r="K35"/>
  <c r="J35"/>
  <c r="I35"/>
  <c r="E35"/>
  <c r="F34"/>
  <c r="G34" s="1"/>
  <c r="F33"/>
  <c r="G33" s="1"/>
  <c r="F32"/>
  <c r="G32" s="1"/>
  <c r="T31"/>
  <c r="S31"/>
  <c r="R31"/>
  <c r="Q31"/>
  <c r="P31"/>
  <c r="O31"/>
  <c r="N31"/>
  <c r="M31"/>
  <c r="L31"/>
  <c r="K31"/>
  <c r="J31"/>
  <c r="I31"/>
  <c r="E31"/>
  <c r="H30"/>
  <c r="H27"/>
  <c r="F27"/>
  <c r="G27" s="1"/>
  <c r="H26"/>
  <c r="F26"/>
  <c r="G26" s="1"/>
  <c r="F24"/>
  <c r="G24" s="1"/>
  <c r="T23"/>
  <c r="S23"/>
  <c r="R23"/>
  <c r="Q23"/>
  <c r="P23"/>
  <c r="O23"/>
  <c r="N23"/>
  <c r="M23"/>
  <c r="L23"/>
  <c r="K23"/>
  <c r="J23"/>
  <c r="I23"/>
  <c r="E23"/>
  <c r="F22"/>
  <c r="G22" s="1"/>
  <c r="T21"/>
  <c r="S21"/>
  <c r="R21"/>
  <c r="Q21"/>
  <c r="P21"/>
  <c r="O21"/>
  <c r="N21"/>
  <c r="M21"/>
  <c r="L21"/>
  <c r="K21"/>
  <c r="J21"/>
  <c r="I21"/>
  <c r="E21"/>
  <c r="F20"/>
  <c r="G20" s="1"/>
  <c r="H19"/>
  <c r="F19"/>
  <c r="G19" s="1"/>
  <c r="F18"/>
  <c r="G18" s="1"/>
  <c r="F17"/>
  <c r="G17" s="1"/>
  <c r="T16"/>
  <c r="S16"/>
  <c r="R16"/>
  <c r="Q16"/>
  <c r="P16"/>
  <c r="O16"/>
  <c r="N16"/>
  <c r="M16"/>
  <c r="L16"/>
  <c r="K16"/>
  <c r="J16"/>
  <c r="I16"/>
  <c r="E16"/>
  <c r="F15"/>
  <c r="G15" s="1"/>
  <c r="H14"/>
  <c r="F14"/>
  <c r="G14" s="1"/>
  <c r="H13"/>
  <c r="G13"/>
  <c r="F12"/>
  <c r="G12" s="1"/>
  <c r="F11"/>
  <c r="G11" s="1"/>
  <c r="F10"/>
  <c r="G10" s="1"/>
  <c r="T9"/>
  <c r="S9"/>
  <c r="R9"/>
  <c r="Q9"/>
  <c r="P9"/>
  <c r="O9"/>
  <c r="N9"/>
  <c r="M9"/>
  <c r="L9"/>
  <c r="K9"/>
  <c r="J9"/>
  <c r="I9"/>
  <c r="E9"/>
  <c r="H32" l="1"/>
  <c r="H24"/>
  <c r="H48"/>
  <c r="H37"/>
  <c r="H55"/>
  <c r="H15"/>
  <c r="H10"/>
  <c r="H20"/>
  <c r="H12"/>
  <c r="H22"/>
  <c r="H33"/>
  <c r="H34"/>
  <c r="H17"/>
  <c r="H18"/>
  <c r="H40"/>
  <c r="H36"/>
  <c r="H47"/>
  <c r="H51"/>
  <c r="H50"/>
  <c r="H54"/>
  <c r="H57"/>
  <c r="H11"/>
  <c r="K67"/>
  <c r="I28"/>
  <c r="M28"/>
  <c r="Q28"/>
  <c r="O67"/>
  <c r="S67"/>
  <c r="S69" s="1"/>
  <c r="F39"/>
  <c r="G39" s="1"/>
  <c r="K28"/>
  <c r="O28"/>
  <c r="S28"/>
  <c r="F65"/>
  <c r="G65" s="1"/>
  <c r="F23"/>
  <c r="G23" s="1"/>
  <c r="L67"/>
  <c r="P67"/>
  <c r="T67"/>
  <c r="E49"/>
  <c r="F16"/>
  <c r="G16" s="1"/>
  <c r="N28"/>
  <c r="R28"/>
  <c r="F21"/>
  <c r="G21" s="1"/>
  <c r="F31"/>
  <c r="H31" s="1"/>
  <c r="M67"/>
  <c r="Q67"/>
  <c r="F35"/>
  <c r="G35" s="1"/>
  <c r="F49"/>
  <c r="E28"/>
  <c r="L28"/>
  <c r="P28"/>
  <c r="T28"/>
  <c r="J67"/>
  <c r="N67"/>
  <c r="R67"/>
  <c r="F44"/>
  <c r="G44" s="1"/>
  <c r="F63"/>
  <c r="G63" s="1"/>
  <c r="J28"/>
  <c r="I67"/>
  <c r="F9"/>
  <c r="H9" s="1"/>
  <c r="O69" l="1"/>
  <c r="H23"/>
  <c r="K69"/>
  <c r="H21"/>
  <c r="H16"/>
  <c r="H39"/>
  <c r="H35"/>
  <c r="H44"/>
  <c r="H49"/>
  <c r="L69"/>
  <c r="E67"/>
  <c r="P69"/>
  <c r="M69"/>
  <c r="I69"/>
  <c r="Q69"/>
  <c r="T69"/>
  <c r="G49"/>
  <c r="F67"/>
  <c r="G31"/>
  <c r="R69"/>
  <c r="N69"/>
  <c r="J69"/>
  <c r="G9"/>
  <c r="G28" s="1"/>
  <c r="F28"/>
  <c r="H28" s="1"/>
  <c r="H67" l="1"/>
  <c r="E69"/>
  <c r="F69"/>
  <c r="G67"/>
  <c r="G69" s="1"/>
  <c r="H69" l="1"/>
</calcChain>
</file>

<file path=xl/comments1.xml><?xml version="1.0" encoding="utf-8"?>
<comments xmlns="http://schemas.openxmlformats.org/spreadsheetml/2006/main">
  <authors>
    <author>Auteur</author>
    <author>caroline</author>
    <author>Comptabilité</author>
    <author>Eric CHASSELOUP</author>
  </authors>
  <commentList>
    <comment ref="D13" authorId="0">
      <text>
        <r>
          <rPr>
            <sz val="8"/>
            <color indexed="81"/>
            <rFont val="Tahoma"/>
            <family val="2"/>
          </rPr>
          <t xml:space="preserve">Démarchés par les sections. Sponsors "historiques" ou qui contribuent régulièrement. </t>
        </r>
      </text>
    </comment>
    <comment ref="D14" authorId="0">
      <text>
        <r>
          <rPr>
            <sz val="8"/>
            <color indexed="81"/>
            <rFont val="Tahoma"/>
            <family val="2"/>
          </rPr>
          <t>Première contribution du sponsor à la section sans  garantie de contributions ultérieures.</t>
        </r>
      </text>
    </comment>
    <comment ref="E15" authorId="1">
      <text>
        <r>
          <rPr>
            <b/>
            <sz val="9"/>
            <color indexed="81"/>
            <rFont val="Tahoma"/>
            <family val="2"/>
          </rPr>
          <t>caroline:</t>
        </r>
        <r>
          <rPr>
            <sz val="9"/>
            <color indexed="81"/>
            <rFont val="Tahoma"/>
            <family val="2"/>
          </rPr>
          <t xml:space="preserve">
4000 : REPORT A NOUVEAU 2016-2017
11,000 : DEPUTE MORANGE</t>
        </r>
      </text>
    </comment>
    <comment ref="M15" authorId="2">
      <text>
        <r>
          <rPr>
            <b/>
            <sz val="9"/>
            <color indexed="81"/>
            <rFont val="Tahoma"/>
            <charset val="1"/>
          </rPr>
          <t>Comptabilité:</t>
        </r>
        <r>
          <rPr>
            <sz val="9"/>
            <color indexed="81"/>
            <rFont val="Tahoma"/>
            <charset val="1"/>
          </rPr>
          <t xml:space="preserve">
RAN 3000€
MORANGE 5500€</t>
        </r>
      </text>
    </comment>
    <comment ref="D18" authorId="0">
      <text>
        <r>
          <rPr>
            <sz val="8"/>
            <color indexed="81"/>
            <rFont val="Tahoma"/>
            <family val="2"/>
          </rPr>
          <t>22 € par adhérent de la section, quel que soit le statut de l'adhérent (simple adhérent, membre du Bureau, bénévole, etc.)</t>
        </r>
      </text>
    </comment>
    <comment ref="D19" authorId="0">
      <text>
        <r>
          <rPr>
            <sz val="8"/>
            <color indexed="81"/>
            <rFont val="Tahoma"/>
            <family val="2"/>
          </rPr>
          <t>Pour les sections concernées.</t>
        </r>
      </text>
    </comment>
    <comment ref="D20" authorId="0">
      <text>
        <r>
          <rPr>
            <sz val="8"/>
            <color indexed="81"/>
            <rFont val="Tahoma"/>
            <family val="2"/>
          </rPr>
          <t>Licences payées à la Fédération à laquelle la section est affiliée.</t>
        </r>
      </text>
    </comment>
    <comment ref="D22" authorId="0">
      <text>
        <r>
          <rPr>
            <sz val="8"/>
            <color indexed="81"/>
            <rFont val="Tahoma"/>
            <family val="2"/>
          </rPr>
          <t>Ventes aux adhérents de la section.</t>
        </r>
      </text>
    </comment>
    <comment ref="D24" authorId="0">
      <text>
        <r>
          <rPr>
            <sz val="8"/>
            <color indexed="81"/>
            <rFont val="Tahoma"/>
            <family val="2"/>
          </rPr>
          <t>Toutes les recettes générées par les manifestations ouvertes aux adhérents et aux non-adhérents.</t>
        </r>
      </text>
    </comment>
    <comment ref="D25" authorId="3">
      <text>
        <r>
          <rPr>
            <sz val="8"/>
            <color indexed="81"/>
            <rFont val="Tahoma"/>
            <family val="2"/>
          </rPr>
          <t>Engagements INDIVIDUELS des adhérents mais collectés par la section qui reverse ensuite l'argent collecté aux organisateurs de la manifestation sportive.</t>
        </r>
      </text>
    </comment>
    <comment ref="D32" authorId="0">
      <text>
        <r>
          <rPr>
            <sz val="8"/>
            <color indexed="81"/>
            <rFont val="Tahoma"/>
            <family val="2"/>
          </rPr>
          <t>Achats aux fournisseurs par la section pour son compte ou pour le compte de ses adhérents.</t>
        </r>
      </text>
    </comment>
    <comment ref="D34" authorId="0">
      <text>
        <r>
          <rPr>
            <sz val="8"/>
            <color indexed="81"/>
            <rFont val="Tahoma"/>
            <family val="2"/>
          </rPr>
          <t>Par exemple, produits de pharmacie, petits accessoires, etc.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 xml:space="preserve">caroline:
</t>
        </r>
        <r>
          <rPr>
            <sz val="9"/>
            <color indexed="81"/>
            <rFont val="Tahoma"/>
            <family val="2"/>
          </rPr>
          <t>Une partie de la subvention député Morange</t>
        </r>
      </text>
    </comment>
    <comment ref="D36" authorId="0">
      <text>
        <r>
          <rPr>
            <sz val="8"/>
            <color indexed="81"/>
            <rFont val="Tahoma"/>
            <family val="2"/>
          </rPr>
          <t>Payées par la section à la Fédération à laquelle elle est affiliée.</t>
        </r>
      </text>
    </comment>
    <comment ref="D37" authorId="0">
      <text>
        <r>
          <rPr>
            <sz val="8"/>
            <color indexed="81"/>
            <rFont val="Tahoma"/>
            <family val="2"/>
          </rPr>
          <t>Montant collecté en produits : "Adhésion de la section à la TG".</t>
        </r>
      </text>
    </comment>
    <comment ref="D40" authorId="0">
      <text>
        <r>
          <rPr>
            <sz val="8"/>
            <color indexed="81"/>
            <rFont val="Tahoma"/>
            <family val="2"/>
          </rPr>
          <t>Salaires + Charges de tous les salariés.</t>
        </r>
      </text>
    </comment>
    <comment ref="M48" authorId="2">
      <text>
        <r>
          <rPr>
            <b/>
            <sz val="9"/>
            <color indexed="81"/>
            <rFont val="Tahoma"/>
            <charset val="1"/>
          </rPr>
          <t>Comptabilité:</t>
        </r>
        <r>
          <rPr>
            <sz val="9"/>
            <color indexed="81"/>
            <rFont val="Tahoma"/>
            <charset val="1"/>
          </rPr>
          <t xml:space="preserve">
74,50 ENGAGEMENT DU 271118 CHQ 101 DEBITE 160118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caroline:</t>
        </r>
        <r>
          <rPr>
            <sz val="9"/>
            <color indexed="81"/>
            <rFont val="Tahoma"/>
            <family val="2"/>
          </rPr>
          <t xml:space="preserve">
- CHAMPIONNATS DE France a Vichy (juillet)
+ autres
- TOURNOI NATIONAL  JEUNES</t>
        </r>
      </text>
    </comment>
  </commentList>
</comments>
</file>

<file path=xl/sharedStrings.xml><?xml version="1.0" encoding="utf-8"?>
<sst xmlns="http://schemas.openxmlformats.org/spreadsheetml/2006/main" count="96" uniqueCount="82">
  <si>
    <t xml:space="preserve">Section </t>
  </si>
  <si>
    <t>Année</t>
  </si>
  <si>
    <t>2017/2018</t>
  </si>
  <si>
    <t>Annuel</t>
  </si>
  <si>
    <t>SEPT</t>
  </si>
  <si>
    <t>OCT</t>
  </si>
  <si>
    <t>NOV</t>
  </si>
  <si>
    <t>DEC</t>
  </si>
  <si>
    <t>JANV</t>
  </si>
  <si>
    <t>FEV</t>
  </si>
  <si>
    <t>MARS</t>
  </si>
  <si>
    <t>AVR</t>
  </si>
  <si>
    <t>MAI</t>
  </si>
  <si>
    <t>JUIN</t>
  </si>
  <si>
    <t>JUIL</t>
  </si>
  <si>
    <t>AOUT</t>
  </si>
  <si>
    <t>Code</t>
  </si>
  <si>
    <t>Catégorie et sous-catégorie</t>
  </si>
  <si>
    <t>Budget</t>
  </si>
  <si>
    <t>Montant réel</t>
  </si>
  <si>
    <t>Ecart (€)</t>
  </si>
  <si>
    <t>(%)</t>
  </si>
  <si>
    <t>Réel</t>
  </si>
  <si>
    <t>PRODUITS / RECETTES</t>
  </si>
  <si>
    <t>Subventions</t>
  </si>
  <si>
    <t>Subvention municipale</t>
  </si>
  <si>
    <t>CNDS</t>
  </si>
  <si>
    <t>Conseil Général</t>
  </si>
  <si>
    <t xml:space="preserve">Sponsors </t>
  </si>
  <si>
    <t>Sponsors (subventions exceptionnelles)</t>
  </si>
  <si>
    <t>Aide exceptionnelle</t>
  </si>
  <si>
    <t>Adhésions</t>
  </si>
  <si>
    <t>Adhésions des membres à la section</t>
  </si>
  <si>
    <t>Adhésion de la section à la TG</t>
  </si>
  <si>
    <t>Assurance complémentaire</t>
  </si>
  <si>
    <t>Licences</t>
  </si>
  <si>
    <t>Ventes</t>
  </si>
  <si>
    <t>Vente tenues, matériel, badges, etc.</t>
  </si>
  <si>
    <t>Recettes diverses</t>
  </si>
  <si>
    <t>Manifestations</t>
  </si>
  <si>
    <t>Produits financiers (réservé TG)</t>
  </si>
  <si>
    <t>Contribution des sections à la TG (réservé TG)</t>
  </si>
  <si>
    <t>TOTAL DES PRODUITS</t>
  </si>
  <si>
    <t>CHARGES / DEPENSES</t>
  </si>
  <si>
    <t>Achats</t>
  </si>
  <si>
    <t>Tenues, maillots, badges, etc.</t>
  </si>
  <si>
    <t>Fournitures administratives et de bureau</t>
  </si>
  <si>
    <t>Petit matériel</t>
  </si>
  <si>
    <t>Cotisation à la TG</t>
  </si>
  <si>
    <t>Remboursements adhésions</t>
  </si>
  <si>
    <t>Charges de Personnel</t>
  </si>
  <si>
    <t>421/437</t>
  </si>
  <si>
    <t>Salaires et charges</t>
  </si>
  <si>
    <t>Autres charges de Personnel</t>
  </si>
  <si>
    <t>Stages, formations</t>
  </si>
  <si>
    <t>Franchise Urssaf</t>
  </si>
  <si>
    <t>Compétitions</t>
  </si>
  <si>
    <t>Arbitrage</t>
  </si>
  <si>
    <t>Pénalités, amendes</t>
  </si>
  <si>
    <t>Affiliations, mutations</t>
  </si>
  <si>
    <t>Engagements compétitions, tournois</t>
  </si>
  <si>
    <t>Autres achats</t>
  </si>
  <si>
    <t>Frais d'animation, manifestation, compétition</t>
  </si>
  <si>
    <t>Déplacements</t>
  </si>
  <si>
    <t>Récompenses, primes, cadeaux</t>
  </si>
  <si>
    <t>Locations diverses</t>
  </si>
  <si>
    <t>Téléphone, Internet, frais postaux</t>
  </si>
  <si>
    <t>Prestations extérieures</t>
  </si>
  <si>
    <t>Dépenses exceptionnelles</t>
  </si>
  <si>
    <t>Contribution à la TG</t>
  </si>
  <si>
    <t>Frais bancaires (réservé TG)</t>
  </si>
  <si>
    <t>Assurance en responsabilité (réservé TG)</t>
  </si>
  <si>
    <t>Honoraires (réservé TG)</t>
  </si>
  <si>
    <t>Taxes</t>
  </si>
  <si>
    <t>Taxes diverses (réservé TG)</t>
  </si>
  <si>
    <t>Dotations diverses</t>
  </si>
  <si>
    <t>Dotations aux amortissements (réservé TG)</t>
  </si>
  <si>
    <t>TOTAL DES CHARGES</t>
  </si>
  <si>
    <t>SYNTHESE GENERALE DU BUDGET</t>
  </si>
  <si>
    <t>Maintenance du matériel</t>
  </si>
  <si>
    <t>Charges constatées d'avance (réservé TG)</t>
  </si>
  <si>
    <t>TIR A L ARC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</si>
</sst>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9">
    <font>
      <sz val="11"/>
      <color theme="1"/>
      <name val="Franklin Gothic Book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11"/>
      <color indexed="8"/>
      <name val="Franklin Gothic Book"/>
      <family val="2"/>
    </font>
    <font>
      <b/>
      <sz val="12"/>
      <color indexed="9"/>
      <name val="Franklin Gothic Book"/>
      <family val="2"/>
    </font>
    <font>
      <sz val="12"/>
      <name val="Franklin Gothic Book"/>
      <family val="2"/>
    </font>
    <font>
      <sz val="8"/>
      <color indexed="9"/>
      <name val="Franklin Gothic Book"/>
      <family val="2"/>
    </font>
    <font>
      <sz val="12"/>
      <color indexed="9"/>
      <name val="Franklin Gothic Book"/>
      <family val="2"/>
    </font>
    <font>
      <b/>
      <sz val="10"/>
      <name val="Franklin Gothic Book"/>
      <family val="2"/>
    </font>
    <font>
      <b/>
      <sz val="10"/>
      <color indexed="9"/>
      <name val="Franklin Gothic Book"/>
      <family val="2"/>
    </font>
    <font>
      <b/>
      <sz val="8"/>
      <color indexed="9"/>
      <name val="Franklin Gothic Book"/>
      <family val="2"/>
    </font>
    <font>
      <b/>
      <u/>
      <sz val="8"/>
      <name val="Franklin Gothic Book"/>
      <family val="2"/>
    </font>
    <font>
      <i/>
      <sz val="8"/>
      <name val="Franklin Gothic Book"/>
      <family val="2"/>
    </font>
    <font>
      <b/>
      <sz val="11"/>
      <color indexed="8"/>
      <name val="Franklin Gothic Book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64"/>
      </left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/>
      <bottom/>
      <diagonal/>
    </border>
    <border>
      <left/>
      <right style="thin">
        <color indexed="19"/>
      </right>
      <top/>
      <bottom/>
      <diagonal/>
    </border>
    <border>
      <left style="thin">
        <color indexed="64"/>
      </left>
      <right style="thin">
        <color indexed="19"/>
      </right>
      <top/>
      <bottom/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>
      <alignment horizontal="left" vertical="center"/>
    </xf>
    <xf numFmtId="14" fontId="1" fillId="0" borderId="0"/>
  </cellStyleXfs>
  <cellXfs count="130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1" fillId="2" borderId="0" xfId="1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9" fontId="6" fillId="2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9" fontId="10" fillId="0" borderId="0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" fillId="5" borderId="11" xfId="0" applyFont="1" applyFill="1" applyBorder="1" applyAlignment="1" applyProtection="1">
      <alignment vertical="top"/>
    </xf>
    <xf numFmtId="0" fontId="1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" fillId="5" borderId="12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6" borderId="11" xfId="0" applyFont="1" applyFill="1" applyBorder="1" applyAlignment="1">
      <alignment vertical="top"/>
    </xf>
    <xf numFmtId="0" fontId="1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" fillId="4" borderId="14" xfId="0" applyFont="1" applyFill="1" applyBorder="1" applyAlignment="1">
      <alignment vertical="top"/>
    </xf>
    <xf numFmtId="0" fontId="10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7" borderId="17" xfId="0" applyFont="1" applyFill="1" applyBorder="1" applyAlignment="1">
      <alignment horizontal="center" vertical="top"/>
    </xf>
    <xf numFmtId="0" fontId="10" fillId="7" borderId="18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vertical="top"/>
    </xf>
    <xf numFmtId="0" fontId="1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" fillId="8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top"/>
    </xf>
    <xf numFmtId="0" fontId="1" fillId="9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" fillId="7" borderId="23" xfId="0" applyFont="1" applyFill="1" applyBorder="1" applyAlignment="1">
      <alignment vertical="top"/>
    </xf>
    <xf numFmtId="0" fontId="10" fillId="7" borderId="24" xfId="0" applyFont="1" applyFill="1" applyBorder="1" applyAlignment="1">
      <alignment vertical="center"/>
    </xf>
    <xf numFmtId="0" fontId="6" fillId="7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top"/>
    </xf>
    <xf numFmtId="0" fontId="2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9" fontId="1" fillId="0" borderId="0" xfId="1" applyFont="1" applyBorder="1" applyAlignment="1">
      <alignment vertical="top"/>
    </xf>
    <xf numFmtId="0" fontId="12" fillId="10" borderId="12" xfId="0" applyFont="1" applyFill="1" applyBorder="1" applyAlignment="1">
      <alignment vertical="center"/>
    </xf>
    <xf numFmtId="0" fontId="12" fillId="10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8" fontId="10" fillId="4" borderId="10" xfId="0" applyNumberFormat="1" applyFont="1" applyFill="1" applyBorder="1" applyAlignment="1">
      <alignment horizontal="center" vertical="center"/>
    </xf>
    <xf numFmtId="8" fontId="10" fillId="4" borderId="8" xfId="0" applyNumberFormat="1" applyFont="1" applyFill="1" applyBorder="1" applyAlignment="1">
      <alignment horizontal="center" vertical="center"/>
    </xf>
    <xf numFmtId="8" fontId="10" fillId="4" borderId="9" xfId="0" applyNumberFormat="1" applyFont="1" applyFill="1" applyBorder="1" applyAlignment="1">
      <alignment horizontal="center" vertical="center"/>
    </xf>
    <xf numFmtId="8" fontId="1" fillId="5" borderId="11" xfId="0" applyNumberFormat="1" applyFont="1" applyFill="1" applyBorder="1" applyAlignment="1" applyProtection="1">
      <alignment vertical="center"/>
      <protection hidden="1"/>
    </xf>
    <xf numFmtId="8" fontId="1" fillId="5" borderId="0" xfId="0" applyNumberFormat="1" applyFont="1" applyFill="1" applyBorder="1" applyAlignment="1" applyProtection="1">
      <alignment vertical="center"/>
      <protection hidden="1"/>
    </xf>
    <xf numFmtId="8" fontId="1" fillId="5" borderId="12" xfId="0" applyNumberFormat="1" applyFont="1" applyFill="1" applyBorder="1" applyAlignment="1" applyProtection="1">
      <alignment vertical="center"/>
    </xf>
    <xf numFmtId="8" fontId="1" fillId="6" borderId="11" xfId="0" applyNumberFormat="1" applyFont="1" applyFill="1" applyBorder="1" applyAlignment="1" applyProtection="1">
      <alignment vertical="center"/>
      <protection locked="0"/>
    </xf>
    <xf numFmtId="8" fontId="1" fillId="6" borderId="0" xfId="0" applyNumberFormat="1" applyFont="1" applyFill="1" applyBorder="1" applyAlignment="1" applyProtection="1">
      <alignment vertical="center"/>
      <protection hidden="1"/>
    </xf>
    <xf numFmtId="8" fontId="1" fillId="6" borderId="0" xfId="0" applyNumberFormat="1" applyFont="1" applyFill="1" applyBorder="1" applyAlignment="1" applyProtection="1">
      <alignment vertical="center"/>
      <protection locked="0"/>
    </xf>
    <xf numFmtId="8" fontId="1" fillId="6" borderId="12" xfId="0" applyNumberFormat="1" applyFont="1" applyFill="1" applyBorder="1" applyAlignment="1" applyProtection="1">
      <alignment vertical="center"/>
      <protection locked="0"/>
    </xf>
    <xf numFmtId="8" fontId="1" fillId="5" borderId="11" xfId="0" applyNumberFormat="1" applyFont="1" applyFill="1" applyBorder="1" applyAlignment="1" applyProtection="1">
      <alignment vertical="center"/>
    </xf>
    <xf numFmtId="8" fontId="1" fillId="6" borderId="13" xfId="0" applyNumberFormat="1" applyFont="1" applyFill="1" applyBorder="1" applyAlignment="1" applyProtection="1">
      <alignment vertical="center"/>
      <protection locked="0"/>
    </xf>
    <xf numFmtId="8" fontId="1" fillId="5" borderId="13" xfId="0" applyNumberFormat="1" applyFont="1" applyFill="1" applyBorder="1" applyAlignment="1" applyProtection="1">
      <alignment vertical="center"/>
    </xf>
    <xf numFmtId="8" fontId="1" fillId="10" borderId="11" xfId="0" applyNumberFormat="1" applyFont="1" applyFill="1" applyBorder="1" applyAlignment="1" applyProtection="1">
      <alignment vertical="center"/>
      <protection locked="0"/>
    </xf>
    <xf numFmtId="8" fontId="1" fillId="10" borderId="0" xfId="0" applyNumberFormat="1" applyFont="1" applyFill="1" applyBorder="1" applyAlignment="1" applyProtection="1">
      <alignment vertical="center"/>
      <protection hidden="1"/>
    </xf>
    <xf numFmtId="8" fontId="1" fillId="10" borderId="13" xfId="0" applyNumberFormat="1" applyFont="1" applyFill="1" applyBorder="1" applyAlignment="1" applyProtection="1">
      <alignment vertical="center"/>
      <protection locked="0"/>
    </xf>
    <xf numFmtId="8" fontId="1" fillId="10" borderId="12" xfId="0" applyNumberFormat="1" applyFont="1" applyFill="1" applyBorder="1" applyAlignment="1" applyProtection="1">
      <alignment vertical="center"/>
      <protection locked="0"/>
    </xf>
    <xf numFmtId="8" fontId="6" fillId="4" borderId="14" xfId="0" applyNumberFormat="1" applyFont="1" applyFill="1" applyBorder="1" applyAlignment="1" applyProtection="1">
      <alignment vertical="center"/>
      <protection hidden="1"/>
    </xf>
    <xf numFmtId="8" fontId="6" fillId="4" borderId="15" xfId="0" applyNumberFormat="1" applyFont="1" applyFill="1" applyBorder="1" applyAlignment="1" applyProtection="1">
      <alignment vertical="center"/>
      <protection hidden="1"/>
    </xf>
    <xf numFmtId="8" fontId="6" fillId="4" borderId="16" xfId="0" applyNumberFormat="1" applyFont="1" applyFill="1" applyBorder="1" applyAlignment="1">
      <alignment vertical="center"/>
    </xf>
    <xf numFmtId="8" fontId="1" fillId="0" borderId="0" xfId="0" applyNumberFormat="1" applyFont="1" applyBorder="1" applyAlignment="1">
      <alignment vertical="center"/>
    </xf>
    <xf numFmtId="8" fontId="10" fillId="7" borderId="17" xfId="0" applyNumberFormat="1" applyFont="1" applyFill="1" applyBorder="1" applyAlignment="1">
      <alignment horizontal="center" vertical="center"/>
    </xf>
    <xf numFmtId="8" fontId="10" fillId="7" borderId="18" xfId="0" applyNumberFormat="1" applyFont="1" applyFill="1" applyBorder="1" applyAlignment="1">
      <alignment horizontal="center" vertical="center"/>
    </xf>
    <xf numFmtId="8" fontId="10" fillId="7" borderId="19" xfId="0" applyNumberFormat="1" applyFont="1" applyFill="1" applyBorder="1" applyAlignment="1">
      <alignment horizontal="center" vertical="center"/>
    </xf>
    <xf numFmtId="8" fontId="1" fillId="8" borderId="20" xfId="0" applyNumberFormat="1" applyFont="1" applyFill="1" applyBorder="1" applyAlignment="1" applyProtection="1">
      <alignment vertical="center"/>
      <protection hidden="1"/>
    </xf>
    <xf numFmtId="8" fontId="1" fillId="8" borderId="0" xfId="0" applyNumberFormat="1" applyFont="1" applyFill="1" applyBorder="1" applyAlignment="1" applyProtection="1">
      <alignment vertical="center"/>
      <protection hidden="1"/>
    </xf>
    <xf numFmtId="8" fontId="1" fillId="8" borderId="22" xfId="0" applyNumberFormat="1" applyFont="1" applyFill="1" applyBorder="1" applyAlignment="1" applyProtection="1">
      <alignment vertical="center"/>
    </xf>
    <xf numFmtId="8" fontId="1" fillId="8" borderId="21" xfId="0" applyNumberFormat="1" applyFont="1" applyFill="1" applyBorder="1" applyAlignment="1" applyProtection="1">
      <alignment vertical="center"/>
    </xf>
    <xf numFmtId="8" fontId="1" fillId="9" borderId="20" xfId="0" applyNumberFormat="1" applyFont="1" applyFill="1" applyBorder="1" applyAlignment="1" applyProtection="1">
      <alignment vertical="center"/>
      <protection locked="0"/>
    </xf>
    <xf numFmtId="8" fontId="1" fillId="9" borderId="0" xfId="0" applyNumberFormat="1" applyFont="1" applyFill="1" applyBorder="1" applyAlignment="1" applyProtection="1">
      <alignment vertical="center"/>
      <protection hidden="1"/>
    </xf>
    <xf numFmtId="8" fontId="1" fillId="9" borderId="22" xfId="0" applyNumberFormat="1" applyFont="1" applyFill="1" applyBorder="1" applyAlignment="1" applyProtection="1">
      <alignment vertical="center"/>
      <protection locked="0"/>
    </xf>
    <xf numFmtId="8" fontId="1" fillId="9" borderId="21" xfId="0" applyNumberFormat="1" applyFont="1" applyFill="1" applyBorder="1" applyAlignment="1" applyProtection="1">
      <alignment vertical="center"/>
      <protection locked="0"/>
    </xf>
    <xf numFmtId="8" fontId="1" fillId="8" borderId="20" xfId="0" applyNumberFormat="1" applyFont="1" applyFill="1" applyBorder="1" applyAlignment="1" applyProtection="1">
      <alignment vertical="center"/>
    </xf>
    <xf numFmtId="8" fontId="1" fillId="10" borderId="20" xfId="0" applyNumberFormat="1" applyFont="1" applyFill="1" applyBorder="1" applyAlignment="1" applyProtection="1">
      <alignment vertical="center"/>
      <protection locked="0"/>
    </xf>
    <xf numFmtId="8" fontId="1" fillId="10" borderId="22" xfId="0" applyNumberFormat="1" applyFont="1" applyFill="1" applyBorder="1" applyAlignment="1" applyProtection="1">
      <alignment vertical="center"/>
      <protection locked="0"/>
    </xf>
    <xf numFmtId="8" fontId="1" fillId="10" borderId="21" xfId="0" applyNumberFormat="1" applyFont="1" applyFill="1" applyBorder="1" applyAlignment="1" applyProtection="1">
      <alignment vertical="center"/>
      <protection locked="0"/>
    </xf>
    <xf numFmtId="8" fontId="6" fillId="7" borderId="23" xfId="0" applyNumberFormat="1" applyFont="1" applyFill="1" applyBorder="1" applyAlignment="1" applyProtection="1">
      <alignment vertical="center"/>
      <protection hidden="1"/>
    </xf>
    <xf numFmtId="8" fontId="6" fillId="7" borderId="24" xfId="0" applyNumberFormat="1" applyFont="1" applyFill="1" applyBorder="1" applyAlignment="1" applyProtection="1">
      <alignment vertical="center"/>
      <protection hidden="1"/>
    </xf>
    <xf numFmtId="8" fontId="6" fillId="7" borderId="25" xfId="0" applyNumberFormat="1" applyFont="1" applyFill="1" applyBorder="1" applyAlignment="1">
      <alignment vertical="center"/>
    </xf>
    <xf numFmtId="8" fontId="1" fillId="0" borderId="0" xfId="0" applyNumberFormat="1" applyFont="1" applyBorder="1" applyAlignment="1" applyProtection="1">
      <alignment vertical="center"/>
      <protection hidden="1"/>
    </xf>
    <xf numFmtId="8" fontId="1" fillId="0" borderId="26" xfId="0" applyNumberFormat="1" applyFont="1" applyFill="1" applyBorder="1" applyAlignment="1" applyProtection="1">
      <alignment vertical="center"/>
      <protection hidden="1"/>
    </xf>
    <xf numFmtId="8" fontId="1" fillId="0" borderId="27" xfId="0" applyNumberFormat="1" applyFont="1" applyFill="1" applyBorder="1" applyAlignment="1" applyProtection="1">
      <alignment vertical="center"/>
      <protection hidden="1"/>
    </xf>
    <xf numFmtId="8" fontId="1" fillId="0" borderId="28" xfId="0" applyNumberFormat="1" applyFont="1" applyFill="1" applyBorder="1" applyAlignment="1">
      <alignment vertical="center"/>
    </xf>
    <xf numFmtId="8" fontId="1" fillId="0" borderId="29" xfId="0" applyNumberFormat="1" applyFont="1" applyFill="1" applyBorder="1" applyAlignment="1">
      <alignment vertical="center"/>
    </xf>
    <xf numFmtId="9" fontId="10" fillId="4" borderId="9" xfId="1" applyNumberFormat="1" applyFont="1" applyFill="1" applyBorder="1" applyAlignment="1">
      <alignment horizontal="center" vertical="center"/>
    </xf>
    <xf numFmtId="9" fontId="1" fillId="5" borderId="0" xfId="1" applyNumberFormat="1" applyFont="1" applyFill="1" applyBorder="1" applyAlignment="1" applyProtection="1">
      <alignment vertical="center"/>
      <protection hidden="1"/>
    </xf>
    <xf numFmtId="9" fontId="1" fillId="6" borderId="12" xfId="0" applyNumberFormat="1" applyFont="1" applyFill="1" applyBorder="1" applyAlignment="1" applyProtection="1">
      <alignment vertical="center"/>
      <protection locked="0"/>
    </xf>
    <xf numFmtId="9" fontId="1" fillId="6" borderId="0" xfId="1" applyNumberFormat="1" applyFont="1" applyFill="1" applyBorder="1" applyAlignment="1" applyProtection="1">
      <alignment vertical="center"/>
      <protection hidden="1"/>
    </xf>
    <xf numFmtId="9" fontId="1" fillId="10" borderId="0" xfId="1" applyNumberFormat="1" applyFont="1" applyFill="1" applyBorder="1" applyAlignment="1" applyProtection="1">
      <alignment vertical="center"/>
      <protection hidden="1"/>
    </xf>
    <xf numFmtId="9" fontId="6" fillId="4" borderId="15" xfId="1" applyNumberFormat="1" applyFont="1" applyFill="1" applyBorder="1" applyAlignment="1" applyProtection="1">
      <alignment vertical="center"/>
      <protection hidden="1"/>
    </xf>
    <xf numFmtId="9" fontId="1" fillId="0" borderId="0" xfId="0" applyNumberFormat="1" applyFont="1" applyBorder="1" applyAlignment="1">
      <alignment vertical="center"/>
    </xf>
    <xf numFmtId="9" fontId="10" fillId="7" borderId="18" xfId="1" applyNumberFormat="1" applyFont="1" applyFill="1" applyBorder="1" applyAlignment="1">
      <alignment horizontal="center" vertical="center"/>
    </xf>
    <xf numFmtId="9" fontId="1" fillId="8" borderId="0" xfId="1" applyNumberFormat="1" applyFont="1" applyFill="1" applyBorder="1" applyAlignment="1" applyProtection="1">
      <alignment vertical="center"/>
      <protection hidden="1"/>
    </xf>
    <xf numFmtId="9" fontId="1" fillId="9" borderId="0" xfId="1" applyNumberFormat="1" applyFont="1" applyFill="1" applyBorder="1" applyAlignment="1" applyProtection="1">
      <alignment vertical="center"/>
      <protection hidden="1"/>
    </xf>
    <xf numFmtId="9" fontId="6" fillId="7" borderId="24" xfId="1" applyNumberFormat="1" applyFont="1" applyFill="1" applyBorder="1" applyAlignment="1" applyProtection="1">
      <alignment vertical="center"/>
      <protection hidden="1"/>
    </xf>
    <xf numFmtId="9" fontId="1" fillId="0" borderId="0" xfId="1" applyNumberFormat="1" applyFont="1" applyBorder="1" applyAlignment="1" applyProtection="1">
      <alignment vertical="center"/>
      <protection hidden="1"/>
    </xf>
    <xf numFmtId="9" fontId="1" fillId="0" borderId="27" xfId="1" applyNumberFormat="1" applyFont="1" applyFill="1" applyBorder="1" applyAlignment="1" applyProtection="1">
      <alignment vertical="center"/>
      <protection hidden="1"/>
    </xf>
  </cellXfs>
  <cellStyles count="4">
    <cellStyle name="Company Name" xfId="2"/>
    <cellStyle name="Date" xf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69"/>
  <sheetViews>
    <sheetView showGridLines="0" tabSelected="1" zoomScale="115" zoomScaleNormal="115" workbookViewId="0">
      <pane xSplit="4" ySplit="7" topLeftCell="J44" activePane="bottomRight" state="frozen"/>
      <selection pane="topRight" activeCell="E1" sqref="E1"/>
      <selection pane="bottomLeft" activeCell="A8" sqref="A8"/>
      <selection pane="bottomRight" activeCell="I2" sqref="I2"/>
    </sheetView>
  </sheetViews>
  <sheetFormatPr baseColWidth="10" defaultColWidth="11.44140625" defaultRowHeight="12.75"/>
  <cols>
    <col min="1" max="1" width="1.109375" style="5" customWidth="1"/>
    <col min="2" max="2" width="4.77734375" style="5" customWidth="1"/>
    <col min="3" max="3" width="2.44140625" style="64" customWidth="1"/>
    <col min="4" max="4" width="25.6640625" style="5" customWidth="1"/>
    <col min="5" max="6" width="8.77734375" style="5" customWidth="1"/>
    <col min="7" max="7" width="11.21875" style="5" customWidth="1"/>
    <col min="8" max="8" width="7" style="65" customWidth="1"/>
    <col min="9" max="20" width="8.77734375" style="5" customWidth="1"/>
    <col min="21" max="16384" width="11.44140625" style="5"/>
  </cols>
  <sheetData>
    <row r="1" spans="1:22" ht="7.5" customHeight="1">
      <c r="A1" s="1"/>
      <c r="B1" s="2"/>
      <c r="C1" s="3"/>
      <c r="D1" s="2"/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16.5">
      <c r="A2" s="1"/>
      <c r="B2" s="68" t="s">
        <v>0</v>
      </c>
      <c r="C2" s="68"/>
      <c r="D2" s="6" t="s">
        <v>81</v>
      </c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4.5" customHeight="1">
      <c r="A3" s="1"/>
      <c r="B3" s="9"/>
      <c r="C3" s="10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16.5">
      <c r="A4" s="1"/>
      <c r="B4" s="69" t="s">
        <v>1</v>
      </c>
      <c r="C4" s="69"/>
      <c r="D4" s="6" t="s">
        <v>2</v>
      </c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s="14" customFormat="1" ht="13.5">
      <c r="A5" s="11"/>
      <c r="B5" s="12"/>
      <c r="C5" s="12"/>
      <c r="D5" s="12"/>
      <c r="E5" s="70" t="s">
        <v>3</v>
      </c>
      <c r="F5" s="71"/>
      <c r="G5" s="71"/>
      <c r="H5" s="72"/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14</v>
      </c>
      <c r="T5" s="13" t="s">
        <v>15</v>
      </c>
    </row>
    <row r="6" spans="1:22" s="22" customFormat="1">
      <c r="A6" s="15"/>
      <c r="B6" s="16" t="s">
        <v>16</v>
      </c>
      <c r="C6" s="17" t="s">
        <v>17</v>
      </c>
      <c r="D6" s="17"/>
      <c r="E6" s="18" t="s">
        <v>18</v>
      </c>
      <c r="F6" s="19" t="s">
        <v>19</v>
      </c>
      <c r="G6" s="19" t="s">
        <v>20</v>
      </c>
      <c r="H6" s="20" t="s">
        <v>21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</row>
    <row r="7" spans="1:22" s="23" customFormat="1" ht="7.5" customHeight="1">
      <c r="B7" s="24"/>
      <c r="C7" s="25"/>
      <c r="D7" s="25"/>
      <c r="E7" s="24"/>
      <c r="F7" s="24"/>
      <c r="G7" s="24"/>
      <c r="H7" s="2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2" s="22" customFormat="1" ht="12.75" customHeight="1">
      <c r="A8" s="27"/>
      <c r="B8" s="28" t="s">
        <v>23</v>
      </c>
      <c r="C8" s="28"/>
      <c r="D8" s="29"/>
      <c r="E8" s="73"/>
      <c r="F8" s="74"/>
      <c r="G8" s="74"/>
      <c r="H8" s="117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2" s="34" customFormat="1" ht="12.75" customHeight="1">
      <c r="A9" s="30"/>
      <c r="B9" s="31"/>
      <c r="C9" s="32" t="s">
        <v>24</v>
      </c>
      <c r="D9" s="33"/>
      <c r="E9" s="76">
        <f>SUM(E10:E15)</f>
        <v>25634</v>
      </c>
      <c r="F9" s="77">
        <f>I9+J9+K9+L9+M9+N9+O9+P9+Q9+R9+S9+T9</f>
        <v>27579.200000000001</v>
      </c>
      <c r="G9" s="77">
        <f t="shared" ref="G9:G27" si="0">F9-E9</f>
        <v>1945.2000000000007</v>
      </c>
      <c r="H9" s="118">
        <f t="shared" ref="H9:H69" si="1">IF(E9=0,"",F9/E9)</f>
        <v>1.0758835921042367</v>
      </c>
      <c r="I9" s="78">
        <f>SUM(I10:I15)</f>
        <v>0</v>
      </c>
      <c r="J9" s="78">
        <f t="shared" ref="J9:T9" si="2">SUM(J10:J15)</f>
        <v>10705.2</v>
      </c>
      <c r="K9" s="78">
        <f t="shared" si="2"/>
        <v>0</v>
      </c>
      <c r="L9" s="78">
        <f t="shared" si="2"/>
        <v>1524</v>
      </c>
      <c r="M9" s="78">
        <f t="shared" si="2"/>
        <v>8500</v>
      </c>
      <c r="N9" s="78">
        <f t="shared" si="2"/>
        <v>850</v>
      </c>
      <c r="O9" s="78">
        <f t="shared" si="2"/>
        <v>0</v>
      </c>
      <c r="P9" s="78">
        <f t="shared" si="2"/>
        <v>3000</v>
      </c>
      <c r="Q9" s="78">
        <f t="shared" si="2"/>
        <v>3000</v>
      </c>
      <c r="R9" s="78">
        <f t="shared" si="2"/>
        <v>0</v>
      </c>
      <c r="S9" s="78">
        <f t="shared" si="2"/>
        <v>0</v>
      </c>
      <c r="T9" s="78">
        <f t="shared" si="2"/>
        <v>0</v>
      </c>
    </row>
    <row r="10" spans="1:22" ht="12.75" customHeight="1">
      <c r="A10" s="35"/>
      <c r="B10" s="36">
        <v>74000</v>
      </c>
      <c r="C10" s="37"/>
      <c r="D10" s="38" t="s">
        <v>25</v>
      </c>
      <c r="E10" s="79">
        <v>7000</v>
      </c>
      <c r="F10" s="80">
        <f t="shared" ref="F10:F15" si="3">SUM(I10+J10+K10+L10+M10+N10+O10+P10+Q10+R10+S10+T10)</f>
        <v>7000</v>
      </c>
      <c r="G10" s="81">
        <f t="shared" si="0"/>
        <v>0</v>
      </c>
      <c r="H10" s="119">
        <f t="shared" si="1"/>
        <v>1</v>
      </c>
      <c r="I10" s="82"/>
      <c r="J10" s="82">
        <v>7000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2" ht="12.75" customHeight="1">
      <c r="A11" s="35"/>
      <c r="B11" s="36">
        <v>74010</v>
      </c>
      <c r="C11" s="37"/>
      <c r="D11" s="38" t="s">
        <v>26</v>
      </c>
      <c r="E11" s="79">
        <v>1000</v>
      </c>
      <c r="F11" s="80">
        <f>SUM(I11+J11+K11+L11+M11+N11+O11+P11+Q11+R11+S11+T11)</f>
        <v>1500</v>
      </c>
      <c r="G11" s="81">
        <f t="shared" si="0"/>
        <v>500</v>
      </c>
      <c r="H11" s="119">
        <f t="shared" si="1"/>
        <v>1.5</v>
      </c>
      <c r="I11" s="82"/>
      <c r="J11" s="82">
        <v>1500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2" ht="12.75" customHeight="1">
      <c r="A12" s="35"/>
      <c r="B12" s="36">
        <v>74020</v>
      </c>
      <c r="C12" s="37"/>
      <c r="D12" s="38" t="s">
        <v>27</v>
      </c>
      <c r="E12" s="79">
        <v>1784</v>
      </c>
      <c r="F12" s="80">
        <f>SUM(I12+J12+K12+L12+M12+N12+O12+P12+Q12+R12+S12+T12)</f>
        <v>1879.2</v>
      </c>
      <c r="G12" s="81">
        <f t="shared" si="0"/>
        <v>95.200000000000045</v>
      </c>
      <c r="H12" s="119">
        <f t="shared" si="1"/>
        <v>1.0533632286995516</v>
      </c>
      <c r="I12" s="82"/>
      <c r="J12" s="82">
        <v>355.2</v>
      </c>
      <c r="K12" s="82"/>
      <c r="L12" s="82">
        <v>1524</v>
      </c>
      <c r="M12" s="82"/>
      <c r="N12" s="82"/>
      <c r="O12" s="82"/>
      <c r="P12" s="82"/>
      <c r="Q12" s="82"/>
      <c r="R12" s="82"/>
      <c r="S12" s="82"/>
      <c r="T12" s="82"/>
    </row>
    <row r="13" spans="1:22" ht="12.75" customHeight="1">
      <c r="A13" s="35"/>
      <c r="B13" s="36">
        <v>74040</v>
      </c>
      <c r="C13" s="37"/>
      <c r="D13" s="38" t="s">
        <v>28</v>
      </c>
      <c r="E13" s="79">
        <v>1850</v>
      </c>
      <c r="F13" s="80">
        <f>SUM(I13+J13+K13+L13+M13+N13+O13+P13+Q13+R13+S13+T13)</f>
        <v>4850</v>
      </c>
      <c r="G13" s="81">
        <f t="shared" si="0"/>
        <v>3000</v>
      </c>
      <c r="H13" s="119">
        <f t="shared" si="1"/>
        <v>2.6216216216216215</v>
      </c>
      <c r="I13" s="82"/>
      <c r="J13" s="82">
        <v>1850</v>
      </c>
      <c r="K13" s="82"/>
      <c r="L13" s="82"/>
      <c r="M13" s="82"/>
      <c r="N13" s="82"/>
      <c r="O13" s="82"/>
      <c r="P13" s="82">
        <v>3000</v>
      </c>
      <c r="Q13" s="82"/>
      <c r="R13" s="82"/>
      <c r="S13" s="82"/>
      <c r="T13" s="82"/>
    </row>
    <row r="14" spans="1:22" ht="12.75" customHeight="1">
      <c r="A14" s="35"/>
      <c r="B14" s="36">
        <v>74030</v>
      </c>
      <c r="C14" s="37"/>
      <c r="D14" s="38" t="s">
        <v>29</v>
      </c>
      <c r="E14" s="79"/>
      <c r="F14" s="80">
        <f t="shared" si="3"/>
        <v>0</v>
      </c>
      <c r="G14" s="81">
        <f t="shared" si="0"/>
        <v>0</v>
      </c>
      <c r="H14" s="119" t="str">
        <f t="shared" si="1"/>
        <v/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2" ht="12.75" customHeight="1">
      <c r="A15" s="35"/>
      <c r="B15" s="36">
        <v>74070</v>
      </c>
      <c r="C15" s="37"/>
      <c r="D15" s="38" t="s">
        <v>30</v>
      </c>
      <c r="E15" s="79">
        <v>14000</v>
      </c>
      <c r="F15" s="80">
        <f t="shared" si="3"/>
        <v>12350</v>
      </c>
      <c r="G15" s="81">
        <f t="shared" si="0"/>
        <v>-1650</v>
      </c>
      <c r="H15" s="119">
        <f t="shared" si="1"/>
        <v>0.88214285714285712</v>
      </c>
      <c r="I15" s="82"/>
      <c r="J15" s="82"/>
      <c r="K15" s="82"/>
      <c r="L15" s="82"/>
      <c r="M15" s="82">
        <f>3000+5500</f>
        <v>8500</v>
      </c>
      <c r="N15" s="82">
        <v>850</v>
      </c>
      <c r="O15" s="82"/>
      <c r="P15" s="82"/>
      <c r="Q15" s="82">
        <v>3000</v>
      </c>
      <c r="R15" s="82"/>
      <c r="S15" s="82"/>
      <c r="T15" s="82"/>
    </row>
    <row r="16" spans="1:22" ht="12.75" customHeight="1">
      <c r="A16" s="30"/>
      <c r="B16" s="31"/>
      <c r="C16" s="32" t="s">
        <v>31</v>
      </c>
      <c r="D16" s="33"/>
      <c r="E16" s="83">
        <f>SUM(E17:E20)</f>
        <v>10850</v>
      </c>
      <c r="F16" s="77">
        <f t="shared" ref="F16:F27" si="4">I16+J16+K16+L16+M16+N16+O16+P16+Q16+R16+S16+T16</f>
        <v>13645</v>
      </c>
      <c r="G16" s="77">
        <f t="shared" si="0"/>
        <v>2795</v>
      </c>
      <c r="H16" s="118">
        <f t="shared" si="1"/>
        <v>1.2576036866359448</v>
      </c>
      <c r="I16" s="78">
        <f>SUM(I17:I20)</f>
        <v>0</v>
      </c>
      <c r="J16" s="78">
        <f t="shared" ref="J16:T16" si="5">SUM(J17:J20)</f>
        <v>10339.5</v>
      </c>
      <c r="K16" s="78">
        <f t="shared" si="5"/>
        <v>0</v>
      </c>
      <c r="L16" s="78">
        <f t="shared" si="5"/>
        <v>1193.5</v>
      </c>
      <c r="M16" s="78">
        <f t="shared" si="5"/>
        <v>1248.5</v>
      </c>
      <c r="N16" s="78">
        <f t="shared" si="5"/>
        <v>50</v>
      </c>
      <c r="O16" s="78">
        <f t="shared" si="5"/>
        <v>703.5</v>
      </c>
      <c r="P16" s="78">
        <f t="shared" si="5"/>
        <v>110</v>
      </c>
      <c r="Q16" s="78">
        <f t="shared" si="5"/>
        <v>0</v>
      </c>
      <c r="R16" s="78">
        <f t="shared" si="5"/>
        <v>0</v>
      </c>
      <c r="S16" s="78">
        <f t="shared" si="5"/>
        <v>0</v>
      </c>
      <c r="T16" s="78">
        <f t="shared" si="5"/>
        <v>0</v>
      </c>
      <c r="U16" s="34"/>
      <c r="V16" s="34"/>
    </row>
    <row r="17" spans="1:22" ht="12.75" customHeight="1">
      <c r="A17" s="35"/>
      <c r="B17" s="36">
        <v>70610</v>
      </c>
      <c r="C17" s="37"/>
      <c r="D17" s="38" t="s">
        <v>32</v>
      </c>
      <c r="E17" s="79">
        <f>65*70</f>
        <v>4550</v>
      </c>
      <c r="F17" s="80">
        <f t="shared" si="4"/>
        <v>6323.5</v>
      </c>
      <c r="G17" s="80">
        <f t="shared" si="0"/>
        <v>1773.5</v>
      </c>
      <c r="H17" s="120">
        <f>IF(E17=0,"",F17/E17)</f>
        <v>1.3897802197802198</v>
      </c>
      <c r="I17" s="84"/>
      <c r="J17" s="82">
        <f>142+4210.5</f>
        <v>4352.5</v>
      </c>
      <c r="K17" s="82"/>
      <c r="L17" s="82">
        <f>130+463</f>
        <v>593</v>
      </c>
      <c r="M17" s="82">
        <v>646.5</v>
      </c>
      <c r="N17" s="82"/>
      <c r="O17" s="82">
        <f>639.5+15</f>
        <v>654.5</v>
      </c>
      <c r="P17" s="82">
        <f>50+27</f>
        <v>77</v>
      </c>
      <c r="Q17" s="82"/>
      <c r="R17" s="82"/>
      <c r="S17" s="82"/>
      <c r="T17" s="82"/>
    </row>
    <row r="18" spans="1:22" ht="12.75" customHeight="1">
      <c r="A18" s="35"/>
      <c r="B18" s="36">
        <v>75020</v>
      </c>
      <c r="C18" s="37"/>
      <c r="D18" s="38" t="s">
        <v>33</v>
      </c>
      <c r="E18" s="79">
        <f>22*80</f>
        <v>1760</v>
      </c>
      <c r="F18" s="80">
        <f t="shared" si="4"/>
        <v>2112</v>
      </c>
      <c r="G18" s="80">
        <f t="shared" si="0"/>
        <v>352</v>
      </c>
      <c r="H18" s="120">
        <f>IF(E18=0,"",F18/E18)</f>
        <v>1.2</v>
      </c>
      <c r="I18" s="84"/>
      <c r="J18" s="82">
        <f>22+1672</f>
        <v>1694</v>
      </c>
      <c r="K18" s="82"/>
      <c r="L18" s="82">
        <f>66+22+132</f>
        <v>220</v>
      </c>
      <c r="M18" s="82">
        <v>154</v>
      </c>
      <c r="N18" s="82">
        <v>22</v>
      </c>
      <c r="O18" s="82"/>
      <c r="P18" s="82">
        <v>22</v>
      </c>
      <c r="Q18" s="82"/>
      <c r="R18" s="82"/>
      <c r="S18" s="82"/>
      <c r="T18" s="82"/>
    </row>
    <row r="19" spans="1:22" ht="12.75" customHeight="1">
      <c r="A19" s="35"/>
      <c r="B19" s="36">
        <v>75040</v>
      </c>
      <c r="C19" s="37"/>
      <c r="D19" s="38" t="s">
        <v>34</v>
      </c>
      <c r="E19" s="79"/>
      <c r="F19" s="80">
        <f t="shared" si="4"/>
        <v>0</v>
      </c>
      <c r="G19" s="80">
        <f t="shared" si="0"/>
        <v>0</v>
      </c>
      <c r="H19" s="120" t="str">
        <f>IF(E19=0,"",F19/E19)</f>
        <v/>
      </c>
      <c r="I19" s="84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s="34" customFormat="1" ht="12.75" customHeight="1">
      <c r="A20" s="35"/>
      <c r="B20" s="36">
        <v>75000</v>
      </c>
      <c r="C20" s="37"/>
      <c r="D20" s="38" t="s">
        <v>35</v>
      </c>
      <c r="E20" s="79">
        <f>(25*15)+(53*35)+(77*30)</f>
        <v>4540</v>
      </c>
      <c r="F20" s="80">
        <f t="shared" si="4"/>
        <v>5209.5</v>
      </c>
      <c r="G20" s="80">
        <f t="shared" si="0"/>
        <v>669.5</v>
      </c>
      <c r="H20" s="120">
        <f>IF(E20=0,"",F20/E20)</f>
        <v>1.147466960352423</v>
      </c>
      <c r="I20" s="84"/>
      <c r="J20" s="82">
        <v>4293</v>
      </c>
      <c r="K20" s="82"/>
      <c r="L20" s="82">
        <f>183+60+137.5</f>
        <v>380.5</v>
      </c>
      <c r="M20" s="82">
        <v>448</v>
      </c>
      <c r="N20" s="82">
        <v>28</v>
      </c>
      <c r="O20" s="82">
        <v>49</v>
      </c>
      <c r="P20" s="82">
        <v>11</v>
      </c>
      <c r="Q20" s="82"/>
      <c r="R20" s="82"/>
      <c r="S20" s="82"/>
      <c r="T20" s="82"/>
      <c r="U20" s="5"/>
      <c r="V20" s="5"/>
    </row>
    <row r="21" spans="1:22" ht="12.75" customHeight="1">
      <c r="A21" s="30"/>
      <c r="B21" s="31"/>
      <c r="C21" s="32" t="s">
        <v>36</v>
      </c>
      <c r="D21" s="33"/>
      <c r="E21" s="83">
        <f>SUM(E22)</f>
        <v>1400</v>
      </c>
      <c r="F21" s="77">
        <f t="shared" si="4"/>
        <v>1614</v>
      </c>
      <c r="G21" s="77">
        <f t="shared" si="0"/>
        <v>214</v>
      </c>
      <c r="H21" s="118">
        <f t="shared" si="1"/>
        <v>1.1528571428571428</v>
      </c>
      <c r="I21" s="85">
        <f>SUM(I22)</f>
        <v>0</v>
      </c>
      <c r="J21" s="78">
        <f t="shared" ref="J21:T21" si="6">SUM(J22)</f>
        <v>700</v>
      </c>
      <c r="K21" s="78">
        <f t="shared" si="6"/>
        <v>0</v>
      </c>
      <c r="L21" s="78">
        <f t="shared" si="6"/>
        <v>350</v>
      </c>
      <c r="M21" s="78">
        <f t="shared" si="6"/>
        <v>0</v>
      </c>
      <c r="N21" s="78">
        <f t="shared" si="6"/>
        <v>100</v>
      </c>
      <c r="O21" s="78">
        <f t="shared" si="6"/>
        <v>169</v>
      </c>
      <c r="P21" s="78">
        <f t="shared" si="6"/>
        <v>235</v>
      </c>
      <c r="Q21" s="78">
        <f t="shared" si="6"/>
        <v>60</v>
      </c>
      <c r="R21" s="78">
        <f t="shared" si="6"/>
        <v>0</v>
      </c>
      <c r="S21" s="78">
        <f t="shared" si="6"/>
        <v>0</v>
      </c>
      <c r="T21" s="78">
        <f t="shared" si="6"/>
        <v>0</v>
      </c>
      <c r="U21" s="34"/>
      <c r="V21" s="34"/>
    </row>
    <row r="22" spans="1:22" ht="12.75" customHeight="1">
      <c r="A22" s="35"/>
      <c r="B22" s="36">
        <v>70620</v>
      </c>
      <c r="C22" s="37"/>
      <c r="D22" s="38" t="s">
        <v>37</v>
      </c>
      <c r="E22" s="79">
        <v>1400</v>
      </c>
      <c r="F22" s="80">
        <f t="shared" si="4"/>
        <v>1614</v>
      </c>
      <c r="G22" s="80">
        <f t="shared" si="0"/>
        <v>214</v>
      </c>
      <c r="H22" s="120">
        <f t="shared" si="1"/>
        <v>1.1528571428571428</v>
      </c>
      <c r="I22" s="84"/>
      <c r="J22" s="82">
        <v>700</v>
      </c>
      <c r="K22" s="82"/>
      <c r="L22" s="82">
        <v>350</v>
      </c>
      <c r="M22" s="82"/>
      <c r="N22" s="82">
        <v>100</v>
      </c>
      <c r="O22" s="82">
        <v>169</v>
      </c>
      <c r="P22" s="82">
        <f>100+35+100</f>
        <v>235</v>
      </c>
      <c r="Q22" s="82">
        <v>60</v>
      </c>
      <c r="R22" s="82"/>
      <c r="S22" s="82"/>
      <c r="T22" s="82"/>
    </row>
    <row r="23" spans="1:22" ht="12.75" customHeight="1">
      <c r="A23" s="30"/>
      <c r="B23" s="31"/>
      <c r="C23" s="32" t="s">
        <v>38</v>
      </c>
      <c r="D23" s="33"/>
      <c r="E23" s="83">
        <f>SUM(E24:E27)</f>
        <v>2800</v>
      </c>
      <c r="F23" s="77">
        <f t="shared" si="4"/>
        <v>5251.55</v>
      </c>
      <c r="G23" s="77">
        <f t="shared" si="0"/>
        <v>2451.5500000000002</v>
      </c>
      <c r="H23" s="118">
        <f t="shared" si="1"/>
        <v>1.8755535714285716</v>
      </c>
      <c r="I23" s="85">
        <f t="shared" ref="I23:T23" si="7">SUM(I24:I27)</f>
        <v>0</v>
      </c>
      <c r="J23" s="78">
        <f t="shared" si="7"/>
        <v>0</v>
      </c>
      <c r="K23" s="78">
        <f t="shared" si="7"/>
        <v>0</v>
      </c>
      <c r="L23" s="78">
        <f t="shared" si="7"/>
        <v>2117</v>
      </c>
      <c r="M23" s="78">
        <f t="shared" si="7"/>
        <v>650.54999999999995</v>
      </c>
      <c r="N23" s="78">
        <f t="shared" si="7"/>
        <v>1028.5</v>
      </c>
      <c r="O23" s="78">
        <f t="shared" si="7"/>
        <v>12</v>
      </c>
      <c r="P23" s="78">
        <f t="shared" si="7"/>
        <v>0</v>
      </c>
      <c r="Q23" s="78">
        <f t="shared" si="7"/>
        <v>1443.5</v>
      </c>
      <c r="R23" s="78">
        <f t="shared" si="7"/>
        <v>0</v>
      </c>
      <c r="S23" s="78">
        <f t="shared" si="7"/>
        <v>0</v>
      </c>
      <c r="T23" s="78">
        <f t="shared" si="7"/>
        <v>0</v>
      </c>
      <c r="U23" s="34"/>
      <c r="V23" s="34"/>
    </row>
    <row r="24" spans="1:22" ht="12.75" customHeight="1">
      <c r="A24" s="35"/>
      <c r="B24" s="36">
        <v>75820</v>
      </c>
      <c r="C24" s="39"/>
      <c r="D24" s="38" t="s">
        <v>39</v>
      </c>
      <c r="E24" s="79">
        <v>2800</v>
      </c>
      <c r="F24" s="80">
        <f t="shared" si="4"/>
        <v>5251.55</v>
      </c>
      <c r="G24" s="80">
        <f t="shared" si="0"/>
        <v>2451.5500000000002</v>
      </c>
      <c r="H24" s="120">
        <f t="shared" si="1"/>
        <v>1.8755535714285716</v>
      </c>
      <c r="I24" s="84"/>
      <c r="J24" s="82"/>
      <c r="K24" s="82"/>
      <c r="L24" s="82">
        <v>2117</v>
      </c>
      <c r="M24" s="82">
        <v>650.54999999999995</v>
      </c>
      <c r="N24" s="82">
        <f>437.5+300+291</f>
        <v>1028.5</v>
      </c>
      <c r="O24" s="82">
        <v>12</v>
      </c>
      <c r="P24" s="82"/>
      <c r="Q24" s="82">
        <f>1293.5+150</f>
        <v>1443.5</v>
      </c>
      <c r="R24" s="82"/>
      <c r="S24" s="82"/>
      <c r="T24" s="82"/>
    </row>
    <row r="25" spans="1:22" ht="12.75" customHeight="1">
      <c r="A25" s="35"/>
      <c r="B25" s="36">
        <v>75600</v>
      </c>
      <c r="C25" s="39"/>
      <c r="D25" s="38" t="s">
        <v>60</v>
      </c>
      <c r="E25" s="79"/>
      <c r="F25" s="80">
        <f t="shared" si="4"/>
        <v>0</v>
      </c>
      <c r="G25" s="80">
        <f t="shared" si="0"/>
        <v>0</v>
      </c>
      <c r="H25" s="120"/>
      <c r="I25" s="84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ht="12.75" customHeight="1">
      <c r="A26" s="35"/>
      <c r="B26" s="36">
        <v>76800</v>
      </c>
      <c r="C26" s="39"/>
      <c r="D26" s="66" t="s">
        <v>40</v>
      </c>
      <c r="E26" s="86"/>
      <c r="F26" s="87">
        <f t="shared" si="4"/>
        <v>0</v>
      </c>
      <c r="G26" s="87">
        <f t="shared" si="0"/>
        <v>0</v>
      </c>
      <c r="H26" s="121" t="str">
        <f t="shared" si="1"/>
        <v/>
      </c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2" ht="12.75" customHeight="1">
      <c r="A27" s="35"/>
      <c r="B27" s="36">
        <v>75830</v>
      </c>
      <c r="C27" s="39"/>
      <c r="D27" s="66" t="s">
        <v>41</v>
      </c>
      <c r="E27" s="86"/>
      <c r="F27" s="87">
        <f t="shared" si="4"/>
        <v>0</v>
      </c>
      <c r="G27" s="87">
        <f t="shared" si="0"/>
        <v>0</v>
      </c>
      <c r="H27" s="121" t="str">
        <f t="shared" si="1"/>
        <v/>
      </c>
      <c r="I27" s="88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2" ht="12.75" customHeight="1">
      <c r="A28" s="40"/>
      <c r="B28" s="41" t="s">
        <v>42</v>
      </c>
      <c r="C28" s="41"/>
      <c r="D28" s="42"/>
      <c r="E28" s="90">
        <f>E9+E16+E21+E23</f>
        <v>40684</v>
      </c>
      <c r="F28" s="91">
        <f>F9+F16+F21+F23</f>
        <v>48089.75</v>
      </c>
      <c r="G28" s="91">
        <f>G9+G16+G21+G23</f>
        <v>7405.7500000000009</v>
      </c>
      <c r="H28" s="122">
        <f t="shared" si="1"/>
        <v>1.1820310195654311</v>
      </c>
      <c r="I28" s="92">
        <f t="shared" ref="I28:T28" si="8">I9+I16+I21+I23</f>
        <v>0</v>
      </c>
      <c r="J28" s="92">
        <f t="shared" si="8"/>
        <v>21744.7</v>
      </c>
      <c r="K28" s="92">
        <f t="shared" si="8"/>
        <v>0</v>
      </c>
      <c r="L28" s="92">
        <f t="shared" si="8"/>
        <v>5184.5</v>
      </c>
      <c r="M28" s="92">
        <f t="shared" si="8"/>
        <v>10399.049999999999</v>
      </c>
      <c r="N28" s="92">
        <f t="shared" si="8"/>
        <v>2028.5</v>
      </c>
      <c r="O28" s="92">
        <f t="shared" si="8"/>
        <v>884.5</v>
      </c>
      <c r="P28" s="92">
        <f t="shared" si="8"/>
        <v>3345</v>
      </c>
      <c r="Q28" s="92">
        <f t="shared" si="8"/>
        <v>4503.5</v>
      </c>
      <c r="R28" s="92">
        <f t="shared" si="8"/>
        <v>0</v>
      </c>
      <c r="S28" s="92">
        <f t="shared" si="8"/>
        <v>0</v>
      </c>
      <c r="T28" s="92">
        <f t="shared" si="8"/>
        <v>0</v>
      </c>
    </row>
    <row r="29" spans="1:22" s="22" customFormat="1" ht="12.75" customHeight="1">
      <c r="A29" s="5"/>
      <c r="B29" s="43"/>
      <c r="C29" s="44"/>
      <c r="D29" s="43"/>
      <c r="E29" s="93"/>
      <c r="F29" s="93"/>
      <c r="G29" s="93"/>
      <c r="H29" s="12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5"/>
      <c r="V29" s="5"/>
    </row>
    <row r="30" spans="1:22" ht="12.75" customHeight="1">
      <c r="A30" s="45"/>
      <c r="B30" s="46" t="s">
        <v>43</v>
      </c>
      <c r="C30" s="46"/>
      <c r="D30" s="47"/>
      <c r="E30" s="94"/>
      <c r="F30" s="95"/>
      <c r="G30" s="95"/>
      <c r="H30" s="124" t="str">
        <f t="shared" si="1"/>
        <v/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22"/>
      <c r="V30" s="22"/>
    </row>
    <row r="31" spans="1:22" ht="12.75" customHeight="1">
      <c r="A31" s="48"/>
      <c r="B31" s="49"/>
      <c r="C31" s="50" t="s">
        <v>44</v>
      </c>
      <c r="D31" s="51"/>
      <c r="E31" s="97">
        <f>SUM(E32:E34)</f>
        <v>11850</v>
      </c>
      <c r="F31" s="98">
        <f t="shared" ref="F31:F66" si="9">I31+J31+K31+L31+M31+N31+O31+P31+Q31+R31+S31+T31</f>
        <v>11968.869999999999</v>
      </c>
      <c r="G31" s="98">
        <f>E31-F31</f>
        <v>-118.86999999999898</v>
      </c>
      <c r="H31" s="125">
        <f t="shared" si="1"/>
        <v>1.0100312236286919</v>
      </c>
      <c r="I31" s="99">
        <f t="shared" ref="I31:T31" si="10">SUM(I32:I34)</f>
        <v>0</v>
      </c>
      <c r="J31" s="100">
        <f t="shared" si="10"/>
        <v>5361.88</v>
      </c>
      <c r="K31" s="100">
        <f t="shared" si="10"/>
        <v>69.290000000000006</v>
      </c>
      <c r="L31" s="100">
        <f t="shared" si="10"/>
        <v>819.72</v>
      </c>
      <c r="M31" s="100">
        <f t="shared" si="10"/>
        <v>246.19</v>
      </c>
      <c r="N31" s="100">
        <f t="shared" si="10"/>
        <v>24.24</v>
      </c>
      <c r="O31" s="100">
        <f t="shared" si="10"/>
        <v>2646.46</v>
      </c>
      <c r="P31" s="100">
        <f t="shared" si="10"/>
        <v>1863.1899999999998</v>
      </c>
      <c r="Q31" s="100">
        <f t="shared" si="10"/>
        <v>937.90000000000009</v>
      </c>
      <c r="R31" s="100">
        <f t="shared" si="10"/>
        <v>0</v>
      </c>
      <c r="S31" s="100">
        <f t="shared" si="10"/>
        <v>0</v>
      </c>
      <c r="T31" s="100">
        <f t="shared" si="10"/>
        <v>0</v>
      </c>
    </row>
    <row r="32" spans="1:22" ht="12.75" customHeight="1">
      <c r="A32" s="52"/>
      <c r="B32" s="53">
        <v>60660</v>
      </c>
      <c r="C32" s="54"/>
      <c r="D32" s="55" t="s">
        <v>45</v>
      </c>
      <c r="E32" s="101">
        <v>3700</v>
      </c>
      <c r="F32" s="102">
        <f t="shared" si="9"/>
        <v>3501.9</v>
      </c>
      <c r="G32" s="102">
        <f t="shared" ref="G32:G66" si="11">E32-F32</f>
        <v>198.09999999999991</v>
      </c>
      <c r="H32" s="126">
        <f t="shared" si="1"/>
        <v>0.94645945945945953</v>
      </c>
      <c r="I32" s="103"/>
      <c r="J32" s="104"/>
      <c r="K32" s="104"/>
      <c r="L32" s="104"/>
      <c r="M32" s="104"/>
      <c r="N32" s="104"/>
      <c r="O32" s="104">
        <v>1586.7</v>
      </c>
      <c r="P32" s="104">
        <f>1671.5+121.85</f>
        <v>1793.35</v>
      </c>
      <c r="Q32" s="104">
        <v>121.85</v>
      </c>
      <c r="R32" s="104"/>
      <c r="S32" s="104"/>
      <c r="T32" s="104"/>
    </row>
    <row r="33" spans="1:20" ht="12.75" customHeight="1">
      <c r="A33" s="52"/>
      <c r="B33" s="53">
        <v>60640</v>
      </c>
      <c r="C33" s="54"/>
      <c r="D33" s="55" t="s">
        <v>46</v>
      </c>
      <c r="E33" s="101">
        <v>150</v>
      </c>
      <c r="F33" s="102">
        <f t="shared" si="9"/>
        <v>228.21</v>
      </c>
      <c r="G33" s="102">
        <f t="shared" si="11"/>
        <v>-78.210000000000008</v>
      </c>
      <c r="H33" s="126">
        <f t="shared" si="1"/>
        <v>1.5214000000000001</v>
      </c>
      <c r="I33" s="103"/>
      <c r="J33" s="104">
        <v>87.55</v>
      </c>
      <c r="K33" s="104">
        <v>69.290000000000006</v>
      </c>
      <c r="L33" s="104">
        <v>30.96</v>
      </c>
      <c r="M33" s="104">
        <v>40.409999999999997</v>
      </c>
      <c r="N33" s="104"/>
      <c r="O33" s="104"/>
      <c r="P33" s="104"/>
      <c r="Q33" s="104"/>
      <c r="R33" s="104"/>
      <c r="S33" s="104"/>
      <c r="T33" s="104"/>
    </row>
    <row r="34" spans="1:20" ht="12.75" customHeight="1">
      <c r="A34" s="52"/>
      <c r="B34" s="53">
        <v>60630</v>
      </c>
      <c r="C34" s="54"/>
      <c r="D34" s="55" t="s">
        <v>47</v>
      </c>
      <c r="E34" s="101">
        <v>8000</v>
      </c>
      <c r="F34" s="102">
        <f t="shared" si="9"/>
        <v>8238.76</v>
      </c>
      <c r="G34" s="102">
        <f t="shared" si="11"/>
        <v>-238.76000000000022</v>
      </c>
      <c r="H34" s="126">
        <f t="shared" si="1"/>
        <v>1.0298450000000001</v>
      </c>
      <c r="I34" s="103"/>
      <c r="J34" s="104">
        <f>2053.27+2277+144.5+799.56</f>
        <v>5274.33</v>
      </c>
      <c r="K34" s="104"/>
      <c r="L34" s="104">
        <f>715.86+30+42.9</f>
        <v>788.76</v>
      </c>
      <c r="M34" s="104">
        <f>12.28+150+43.5</f>
        <v>205.78</v>
      </c>
      <c r="N34" s="104">
        <v>24.24</v>
      </c>
      <c r="O34" s="104">
        <v>1059.76</v>
      </c>
      <c r="P34" s="104">
        <v>69.84</v>
      </c>
      <c r="Q34" s="104">
        <f>705.2+12.95+5+92.9</f>
        <v>816.05000000000007</v>
      </c>
      <c r="R34" s="104"/>
      <c r="S34" s="104"/>
      <c r="T34" s="104"/>
    </row>
    <row r="35" spans="1:20" ht="12.75" customHeight="1">
      <c r="A35" s="48"/>
      <c r="B35" s="49"/>
      <c r="C35" s="50" t="s">
        <v>31</v>
      </c>
      <c r="D35" s="51"/>
      <c r="E35" s="105">
        <f>SUM(E36:E38)</f>
        <v>6300</v>
      </c>
      <c r="F35" s="98">
        <f t="shared" si="9"/>
        <v>8393.75</v>
      </c>
      <c r="G35" s="98">
        <f t="shared" si="11"/>
        <v>-2093.75</v>
      </c>
      <c r="H35" s="125">
        <f t="shared" si="1"/>
        <v>1.3323412698412698</v>
      </c>
      <c r="I35" s="99">
        <f>SUM(I36:I38)</f>
        <v>0</v>
      </c>
      <c r="J35" s="100">
        <f t="shared" ref="J35:T35" si="12">SUM(J36:J38)</f>
        <v>3391.5</v>
      </c>
      <c r="K35" s="100">
        <f t="shared" si="12"/>
        <v>3960.75</v>
      </c>
      <c r="L35" s="100">
        <f t="shared" si="12"/>
        <v>479.5</v>
      </c>
      <c r="M35" s="100">
        <f t="shared" si="12"/>
        <v>300</v>
      </c>
      <c r="N35" s="100">
        <f t="shared" si="12"/>
        <v>122</v>
      </c>
      <c r="O35" s="100">
        <f t="shared" si="12"/>
        <v>96</v>
      </c>
      <c r="P35" s="100">
        <f t="shared" si="12"/>
        <v>22</v>
      </c>
      <c r="Q35" s="100">
        <f t="shared" si="12"/>
        <v>22</v>
      </c>
      <c r="R35" s="100">
        <f t="shared" si="12"/>
        <v>0</v>
      </c>
      <c r="S35" s="100">
        <f t="shared" si="12"/>
        <v>0</v>
      </c>
      <c r="T35" s="100">
        <f t="shared" si="12"/>
        <v>0</v>
      </c>
    </row>
    <row r="36" spans="1:20" ht="12" customHeight="1">
      <c r="A36" s="52"/>
      <c r="B36" s="53">
        <v>65000</v>
      </c>
      <c r="C36" s="54"/>
      <c r="D36" s="55" t="s">
        <v>35</v>
      </c>
      <c r="E36" s="101">
        <v>4540</v>
      </c>
      <c r="F36" s="102">
        <f t="shared" si="9"/>
        <v>6281.75</v>
      </c>
      <c r="G36" s="102">
        <f t="shared" si="11"/>
        <v>-1741.75</v>
      </c>
      <c r="H36" s="126">
        <f t="shared" si="1"/>
        <v>1.3836453744493391</v>
      </c>
      <c r="I36" s="103"/>
      <c r="J36" s="104">
        <v>3391.5</v>
      </c>
      <c r="K36" s="104">
        <v>2266.75</v>
      </c>
      <c r="L36" s="104">
        <v>259.5</v>
      </c>
      <c r="M36" s="104">
        <v>146</v>
      </c>
      <c r="N36" s="104">
        <v>100</v>
      </c>
      <c r="O36" s="104">
        <v>96</v>
      </c>
      <c r="P36" s="104"/>
      <c r="Q36" s="104">
        <v>22</v>
      </c>
      <c r="R36" s="104"/>
      <c r="S36" s="104"/>
      <c r="T36" s="104"/>
    </row>
    <row r="37" spans="1:20" ht="12.75" customHeight="1">
      <c r="A37" s="52"/>
      <c r="B37" s="53">
        <v>65020</v>
      </c>
      <c r="C37" s="54"/>
      <c r="D37" s="55" t="s">
        <v>48</v>
      </c>
      <c r="E37" s="101">
        <f>22*80</f>
        <v>1760</v>
      </c>
      <c r="F37" s="102">
        <f t="shared" si="9"/>
        <v>2112</v>
      </c>
      <c r="G37" s="102">
        <f t="shared" si="11"/>
        <v>-352</v>
      </c>
      <c r="H37" s="126">
        <f t="shared" si="1"/>
        <v>1.2</v>
      </c>
      <c r="I37" s="103"/>
      <c r="J37" s="104"/>
      <c r="K37" s="104">
        <v>1694</v>
      </c>
      <c r="L37" s="104">
        <v>220</v>
      </c>
      <c r="M37" s="104">
        <v>154</v>
      </c>
      <c r="N37" s="104">
        <v>22</v>
      </c>
      <c r="O37" s="104"/>
      <c r="P37" s="104">
        <v>22</v>
      </c>
      <c r="Q37" s="104"/>
      <c r="R37" s="104"/>
      <c r="S37" s="104"/>
      <c r="T37" s="104"/>
    </row>
    <row r="38" spans="1:20" ht="12.75" customHeight="1">
      <c r="A38" s="52"/>
      <c r="B38" s="53">
        <v>65200</v>
      </c>
      <c r="C38" s="54"/>
      <c r="D38" s="55" t="s">
        <v>49</v>
      </c>
      <c r="E38" s="101"/>
      <c r="F38" s="102">
        <f t="shared" si="9"/>
        <v>0</v>
      </c>
      <c r="G38" s="102">
        <f t="shared" si="11"/>
        <v>0</v>
      </c>
      <c r="H38" s="126" t="str">
        <f t="shared" si="1"/>
        <v/>
      </c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>
      <c r="A39" s="48"/>
      <c r="B39" s="49"/>
      <c r="C39" s="50" t="s">
        <v>50</v>
      </c>
      <c r="D39" s="51"/>
      <c r="E39" s="105">
        <f>SUM(E40:E43)</f>
        <v>0</v>
      </c>
      <c r="F39" s="98">
        <f t="shared" si="9"/>
        <v>0</v>
      </c>
      <c r="G39" s="98">
        <f t="shared" si="11"/>
        <v>0</v>
      </c>
      <c r="H39" s="125" t="str">
        <f t="shared" si="1"/>
        <v/>
      </c>
      <c r="I39" s="99">
        <f t="shared" ref="I39:T39" si="13">SUM(I40:I43)</f>
        <v>0</v>
      </c>
      <c r="J39" s="100">
        <f t="shared" si="13"/>
        <v>0</v>
      </c>
      <c r="K39" s="100">
        <f t="shared" si="13"/>
        <v>0</v>
      </c>
      <c r="L39" s="100">
        <f t="shared" si="13"/>
        <v>0</v>
      </c>
      <c r="M39" s="100">
        <f t="shared" si="13"/>
        <v>0</v>
      </c>
      <c r="N39" s="100">
        <f t="shared" si="13"/>
        <v>0</v>
      </c>
      <c r="O39" s="100">
        <f t="shared" si="13"/>
        <v>0</v>
      </c>
      <c r="P39" s="100">
        <f t="shared" si="13"/>
        <v>0</v>
      </c>
      <c r="Q39" s="100">
        <f t="shared" si="13"/>
        <v>0</v>
      </c>
      <c r="R39" s="100">
        <f t="shared" si="13"/>
        <v>0</v>
      </c>
      <c r="S39" s="100">
        <f t="shared" si="13"/>
        <v>0</v>
      </c>
      <c r="T39" s="100">
        <f t="shared" si="13"/>
        <v>0</v>
      </c>
    </row>
    <row r="40" spans="1:20" ht="12.75" customHeight="1">
      <c r="A40" s="52"/>
      <c r="B40" s="53" t="s">
        <v>51</v>
      </c>
      <c r="C40" s="54"/>
      <c r="D40" s="55" t="s">
        <v>52</v>
      </c>
      <c r="E40" s="101"/>
      <c r="F40" s="102">
        <f t="shared" si="9"/>
        <v>0</v>
      </c>
      <c r="G40" s="102">
        <f t="shared" si="11"/>
        <v>0</v>
      </c>
      <c r="H40" s="126" t="str">
        <f t="shared" si="1"/>
        <v/>
      </c>
      <c r="I40" s="103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  <row r="41" spans="1:20" ht="12.75" customHeight="1">
      <c r="A41" s="52"/>
      <c r="B41" s="53">
        <v>64800</v>
      </c>
      <c r="C41" s="54"/>
      <c r="D41" s="55" t="s">
        <v>53</v>
      </c>
      <c r="E41" s="101"/>
      <c r="F41" s="102">
        <f t="shared" si="9"/>
        <v>0</v>
      </c>
      <c r="G41" s="102">
        <f t="shared" si="11"/>
        <v>0</v>
      </c>
      <c r="H41" s="126" t="str">
        <f t="shared" si="1"/>
        <v/>
      </c>
      <c r="I41" s="103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</row>
    <row r="42" spans="1:20" ht="12.75" customHeight="1">
      <c r="A42" s="52"/>
      <c r="B42" s="53">
        <v>61850</v>
      </c>
      <c r="C42" s="54"/>
      <c r="D42" s="55" t="s">
        <v>54</v>
      </c>
      <c r="E42" s="101"/>
      <c r="F42" s="102">
        <f t="shared" si="9"/>
        <v>0</v>
      </c>
      <c r="G42" s="102">
        <f t="shared" si="11"/>
        <v>0</v>
      </c>
      <c r="H42" s="126" t="str">
        <f t="shared" si="1"/>
        <v/>
      </c>
      <c r="I42" s="103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  <row r="43" spans="1:20" ht="12.75" customHeight="1">
      <c r="A43" s="52"/>
      <c r="B43" s="53">
        <v>64600</v>
      </c>
      <c r="C43" s="54"/>
      <c r="D43" s="55" t="s">
        <v>55</v>
      </c>
      <c r="E43" s="101"/>
      <c r="F43" s="102">
        <f t="shared" si="9"/>
        <v>0</v>
      </c>
      <c r="G43" s="102">
        <f t="shared" si="11"/>
        <v>0</v>
      </c>
      <c r="H43" s="126" t="str">
        <f t="shared" si="1"/>
        <v/>
      </c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</row>
    <row r="44" spans="1:20" ht="12.75" customHeight="1">
      <c r="A44" s="48"/>
      <c r="B44" s="49"/>
      <c r="C44" s="50" t="s">
        <v>56</v>
      </c>
      <c r="D44" s="51"/>
      <c r="E44" s="105">
        <f>SUM(E45:E48)</f>
        <v>5220</v>
      </c>
      <c r="F44" s="98">
        <f t="shared" si="9"/>
        <v>3853</v>
      </c>
      <c r="G44" s="98">
        <f t="shared" si="11"/>
        <v>1367</v>
      </c>
      <c r="H44" s="125">
        <f t="shared" si="1"/>
        <v>0.73812260536398466</v>
      </c>
      <c r="I44" s="99">
        <f>SUM(I45:I48)</f>
        <v>0</v>
      </c>
      <c r="J44" s="100">
        <f t="shared" ref="J44:T44" si="14">SUM(J45:J48)</f>
        <v>0</v>
      </c>
      <c r="K44" s="100">
        <f t="shared" si="14"/>
        <v>54</v>
      </c>
      <c r="L44" s="100">
        <f t="shared" si="14"/>
        <v>1299</v>
      </c>
      <c r="M44" s="100">
        <f t="shared" si="14"/>
        <v>992.5</v>
      </c>
      <c r="N44" s="100">
        <f t="shared" si="14"/>
        <v>456</v>
      </c>
      <c r="O44" s="100">
        <f t="shared" si="14"/>
        <v>273</v>
      </c>
      <c r="P44" s="100">
        <f t="shared" si="14"/>
        <v>0</v>
      </c>
      <c r="Q44" s="100">
        <f t="shared" si="14"/>
        <v>778.5</v>
      </c>
      <c r="R44" s="100">
        <f t="shared" si="14"/>
        <v>0</v>
      </c>
      <c r="S44" s="100">
        <f t="shared" si="14"/>
        <v>0</v>
      </c>
      <c r="T44" s="100">
        <f t="shared" si="14"/>
        <v>0</v>
      </c>
    </row>
    <row r="45" spans="1:20" ht="12.75" customHeight="1">
      <c r="A45" s="52"/>
      <c r="B45" s="53">
        <v>62200</v>
      </c>
      <c r="C45" s="56"/>
      <c r="D45" s="55" t="s">
        <v>57</v>
      </c>
      <c r="E45" s="101">
        <v>200</v>
      </c>
      <c r="F45" s="102">
        <f t="shared" si="9"/>
        <v>0</v>
      </c>
      <c r="G45" s="102">
        <f t="shared" si="11"/>
        <v>200</v>
      </c>
      <c r="H45" s="126">
        <f t="shared" si="1"/>
        <v>0</v>
      </c>
      <c r="I45" s="103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  <row r="46" spans="1:20" ht="12.75" customHeight="1">
      <c r="A46" s="52"/>
      <c r="B46" s="53">
        <v>67120</v>
      </c>
      <c r="C46" s="56"/>
      <c r="D46" s="55" t="s">
        <v>58</v>
      </c>
      <c r="E46" s="101"/>
      <c r="F46" s="102">
        <f t="shared" si="9"/>
        <v>0</v>
      </c>
      <c r="G46" s="102">
        <f t="shared" si="11"/>
        <v>0</v>
      </c>
      <c r="H46" s="126" t="str">
        <f t="shared" si="1"/>
        <v/>
      </c>
      <c r="I46" s="103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</row>
    <row r="47" spans="1:20" ht="12.75" customHeight="1">
      <c r="A47" s="52"/>
      <c r="B47" s="53">
        <v>62810</v>
      </c>
      <c r="C47" s="56"/>
      <c r="D47" s="55" t="s">
        <v>59</v>
      </c>
      <c r="E47" s="101">
        <v>20</v>
      </c>
      <c r="F47" s="102">
        <f t="shared" si="9"/>
        <v>0</v>
      </c>
      <c r="G47" s="102">
        <f t="shared" si="11"/>
        <v>20</v>
      </c>
      <c r="H47" s="126">
        <f t="shared" si="1"/>
        <v>0</v>
      </c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1:20" ht="12.75" customHeight="1">
      <c r="A48" s="52"/>
      <c r="B48" s="53">
        <v>62800</v>
      </c>
      <c r="C48" s="54"/>
      <c r="D48" s="55" t="s">
        <v>60</v>
      </c>
      <c r="E48" s="101">
        <v>5000</v>
      </c>
      <c r="F48" s="102">
        <f t="shared" si="9"/>
        <v>3853</v>
      </c>
      <c r="G48" s="102">
        <f t="shared" si="11"/>
        <v>1147</v>
      </c>
      <c r="H48" s="126">
        <f t="shared" si="1"/>
        <v>0.77059999999999995</v>
      </c>
      <c r="I48" s="103"/>
      <c r="J48" s="104"/>
      <c r="K48" s="104">
        <f>8.5+20+8+8.5+9</f>
        <v>54</v>
      </c>
      <c r="L48" s="104">
        <f>870+283.5+145.5</f>
        <v>1299</v>
      </c>
      <c r="M48" s="104">
        <f>150+40+220+500+8+74.5</f>
        <v>992.5</v>
      </c>
      <c r="N48" s="104">
        <f>301+8.5+8.5+102+18+18</f>
        <v>456</v>
      </c>
      <c r="O48" s="104">
        <f>78+195</f>
        <v>273</v>
      </c>
      <c r="P48" s="104"/>
      <c r="Q48" s="104">
        <f>34+33+70+10+20+593.5+18</f>
        <v>778.5</v>
      </c>
      <c r="R48" s="104"/>
      <c r="S48" s="104"/>
      <c r="T48" s="104"/>
    </row>
    <row r="49" spans="1:20" ht="12.75" customHeight="1">
      <c r="A49" s="48"/>
      <c r="B49" s="49"/>
      <c r="C49" s="50" t="s">
        <v>61</v>
      </c>
      <c r="D49" s="51"/>
      <c r="E49" s="105">
        <f>SUM(E50:E66)</f>
        <v>17314</v>
      </c>
      <c r="F49" s="98">
        <f t="shared" si="9"/>
        <v>16036.789999999997</v>
      </c>
      <c r="G49" s="98">
        <f t="shared" si="11"/>
        <v>1277.2100000000028</v>
      </c>
      <c r="H49" s="125">
        <f t="shared" si="1"/>
        <v>0.92623252858958049</v>
      </c>
      <c r="I49" s="99">
        <f t="shared" ref="I49:T49" si="15">SUM(I50:I62)</f>
        <v>856.86</v>
      </c>
      <c r="J49" s="99">
        <f t="shared" si="15"/>
        <v>870</v>
      </c>
      <c r="K49" s="99">
        <f t="shared" si="15"/>
        <v>741.7</v>
      </c>
      <c r="L49" s="99">
        <f t="shared" si="15"/>
        <v>1990.2</v>
      </c>
      <c r="M49" s="99">
        <f t="shared" si="15"/>
        <v>5059.93</v>
      </c>
      <c r="N49" s="99">
        <f t="shared" si="15"/>
        <v>1416.1999999999998</v>
      </c>
      <c r="O49" s="99">
        <f t="shared" si="15"/>
        <v>1176.05</v>
      </c>
      <c r="P49" s="99">
        <f t="shared" si="15"/>
        <v>873.65</v>
      </c>
      <c r="Q49" s="99">
        <f t="shared" si="15"/>
        <v>3052.2</v>
      </c>
      <c r="R49" s="99">
        <f t="shared" si="15"/>
        <v>0</v>
      </c>
      <c r="S49" s="99">
        <f t="shared" si="15"/>
        <v>0</v>
      </c>
      <c r="T49" s="99">
        <f t="shared" si="15"/>
        <v>0</v>
      </c>
    </row>
    <row r="50" spans="1:20" ht="12.75" customHeight="1">
      <c r="A50" s="52"/>
      <c r="B50" s="53">
        <v>62572</v>
      </c>
      <c r="C50" s="57"/>
      <c r="D50" s="55" t="s">
        <v>62</v>
      </c>
      <c r="E50" s="101">
        <v>4000</v>
      </c>
      <c r="F50" s="102">
        <f t="shared" si="9"/>
        <v>5401.68</v>
      </c>
      <c r="G50" s="102">
        <f t="shared" si="11"/>
        <v>-1401.6800000000003</v>
      </c>
      <c r="H50" s="126">
        <f t="shared" si="1"/>
        <v>1.3504200000000002</v>
      </c>
      <c r="I50" s="103">
        <v>22</v>
      </c>
      <c r="J50" s="104"/>
      <c r="K50" s="104"/>
      <c r="L50" s="104"/>
      <c r="M50" s="104">
        <f>105+502.91+6+350+6.9+12.07+48.84+31.55+5.44+1748.4</f>
        <v>2817.11</v>
      </c>
      <c r="N50" s="104">
        <f>156.69+14.2+21.11</f>
        <v>192</v>
      </c>
      <c r="O50" s="104">
        <f>68.7+78+94.6+62.5</f>
        <v>303.79999999999995</v>
      </c>
      <c r="P50" s="104"/>
      <c r="Q50" s="104">
        <f>468+425.6+178.8+35.9+60.8+455.91+90+20+12.9+23.1+57.5+42.5+77.2+82.32+26.56+9.68</f>
        <v>2066.77</v>
      </c>
      <c r="R50" s="104"/>
      <c r="S50" s="104"/>
      <c r="T50" s="104"/>
    </row>
    <row r="51" spans="1:20" ht="12.75" customHeight="1">
      <c r="A51" s="52"/>
      <c r="B51" s="53">
        <v>62510</v>
      </c>
      <c r="C51" s="57"/>
      <c r="D51" s="55" t="s">
        <v>63</v>
      </c>
      <c r="E51" s="101">
        <v>4000</v>
      </c>
      <c r="F51" s="102">
        <f t="shared" si="9"/>
        <v>3560.3599999999997</v>
      </c>
      <c r="G51" s="102">
        <f t="shared" si="11"/>
        <v>439.64000000000033</v>
      </c>
      <c r="H51" s="126">
        <f t="shared" si="1"/>
        <v>0.89008999999999994</v>
      </c>
      <c r="I51" s="103">
        <v>41.86</v>
      </c>
      <c r="J51" s="104"/>
      <c r="K51" s="104"/>
      <c r="L51" s="104">
        <v>1295.2</v>
      </c>
      <c r="M51" s="104">
        <f>56.5+759.92</f>
        <v>816.42</v>
      </c>
      <c r="N51" s="104">
        <f>516.9+97.3</f>
        <v>614.19999999999993</v>
      </c>
      <c r="O51" s="104">
        <v>457.25</v>
      </c>
      <c r="P51" s="104"/>
      <c r="Q51" s="104">
        <f>30+112.54+34.8+34.8+123.29</f>
        <v>335.43000000000006</v>
      </c>
      <c r="R51" s="104"/>
      <c r="S51" s="104"/>
      <c r="T51" s="104"/>
    </row>
    <row r="52" spans="1:20" ht="12.75" customHeight="1">
      <c r="A52" s="52"/>
      <c r="B52" s="53">
        <v>62340</v>
      </c>
      <c r="C52" s="54"/>
      <c r="D52" s="55" t="s">
        <v>64</v>
      </c>
      <c r="E52" s="101">
        <v>200</v>
      </c>
      <c r="F52" s="102">
        <f t="shared" si="9"/>
        <v>0</v>
      </c>
      <c r="G52" s="102">
        <f t="shared" si="11"/>
        <v>200</v>
      </c>
      <c r="H52" s="126">
        <f t="shared" si="1"/>
        <v>0</v>
      </c>
      <c r="I52" s="103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</row>
    <row r="53" spans="1:20" ht="12.75" customHeight="1">
      <c r="A53" s="52"/>
      <c r="B53" s="53">
        <v>61350</v>
      </c>
      <c r="C53" s="54"/>
      <c r="D53" s="55" t="s">
        <v>65</v>
      </c>
      <c r="E53" s="101"/>
      <c r="F53" s="102">
        <f t="shared" si="9"/>
        <v>0</v>
      </c>
      <c r="G53" s="102">
        <f t="shared" si="11"/>
        <v>0</v>
      </c>
      <c r="H53" s="126" t="str">
        <f t="shared" si="1"/>
        <v/>
      </c>
      <c r="I53" s="103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</row>
    <row r="54" spans="1:20" ht="12.75" customHeight="1">
      <c r="A54" s="52"/>
      <c r="B54" s="53">
        <v>62600</v>
      </c>
      <c r="C54" s="54"/>
      <c r="D54" s="55" t="s">
        <v>66</v>
      </c>
      <c r="E54" s="101">
        <v>130</v>
      </c>
      <c r="F54" s="102">
        <f t="shared" si="9"/>
        <v>189.35</v>
      </c>
      <c r="G54" s="102">
        <f t="shared" si="11"/>
        <v>-59.349999999999994</v>
      </c>
      <c r="H54" s="126">
        <f t="shared" si="1"/>
        <v>1.4565384615384616</v>
      </c>
      <c r="I54" s="103">
        <v>69</v>
      </c>
      <c r="J54" s="104"/>
      <c r="K54" s="104">
        <v>26.7</v>
      </c>
      <c r="L54" s="104">
        <v>85</v>
      </c>
      <c r="M54" s="104"/>
      <c r="N54" s="104"/>
      <c r="O54" s="104"/>
      <c r="P54" s="104">
        <v>8.65</v>
      </c>
      <c r="Q54" s="104"/>
      <c r="R54" s="104"/>
      <c r="S54" s="104"/>
      <c r="T54" s="104"/>
    </row>
    <row r="55" spans="1:20" ht="12.75" customHeight="1">
      <c r="A55" s="52"/>
      <c r="B55" s="53">
        <v>61100</v>
      </c>
      <c r="C55" s="56"/>
      <c r="D55" s="55" t="s">
        <v>67</v>
      </c>
      <c r="E55" s="101">
        <v>8260</v>
      </c>
      <c r="F55" s="102">
        <f t="shared" si="9"/>
        <v>6161.4</v>
      </c>
      <c r="G55" s="102">
        <f t="shared" si="11"/>
        <v>2098.6000000000004</v>
      </c>
      <c r="H55" s="126">
        <f t="shared" si="1"/>
        <v>0.74593220338983046</v>
      </c>
      <c r="I55" s="103"/>
      <c r="J55" s="104">
        <v>870</v>
      </c>
      <c r="K55" s="104">
        <v>715</v>
      </c>
      <c r="L55" s="104">
        <v>610</v>
      </c>
      <c r="M55" s="104">
        <f>545+661.4+220</f>
        <v>1426.4</v>
      </c>
      <c r="N55" s="104">
        <v>610</v>
      </c>
      <c r="O55" s="104">
        <v>415</v>
      </c>
      <c r="P55" s="104">
        <v>865</v>
      </c>
      <c r="Q55" s="104">
        <v>650</v>
      </c>
      <c r="R55" s="104"/>
      <c r="S55" s="104"/>
      <c r="T55" s="104"/>
    </row>
    <row r="56" spans="1:20" ht="12.75" customHeight="1">
      <c r="A56" s="52"/>
      <c r="B56" s="53">
        <v>67100</v>
      </c>
      <c r="C56" s="56"/>
      <c r="D56" s="55" t="s">
        <v>68</v>
      </c>
      <c r="E56" s="101"/>
      <c r="F56" s="102">
        <f t="shared" si="9"/>
        <v>0</v>
      </c>
      <c r="G56" s="102">
        <f>E56-F56</f>
        <v>0</v>
      </c>
      <c r="H56" s="126" t="str">
        <f t="shared" si="1"/>
        <v/>
      </c>
      <c r="I56" s="103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</row>
    <row r="57" spans="1:20" ht="12.75" customHeight="1">
      <c r="A57" s="52"/>
      <c r="B57" s="53">
        <v>65830</v>
      </c>
      <c r="C57" s="56"/>
      <c r="D57" s="55" t="s">
        <v>69</v>
      </c>
      <c r="E57" s="101">
        <v>724</v>
      </c>
      <c r="F57" s="102">
        <f t="shared" si="9"/>
        <v>724</v>
      </c>
      <c r="G57" s="102">
        <f t="shared" si="11"/>
        <v>0</v>
      </c>
      <c r="H57" s="126">
        <f t="shared" si="1"/>
        <v>1</v>
      </c>
      <c r="I57" s="103">
        <v>724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</row>
    <row r="58" spans="1:20" ht="12.75" customHeight="1">
      <c r="A58" s="52"/>
      <c r="B58" s="53">
        <v>61560</v>
      </c>
      <c r="C58" s="56"/>
      <c r="D58" s="55" t="s">
        <v>79</v>
      </c>
      <c r="E58" s="101"/>
      <c r="F58" s="102">
        <f t="shared" si="9"/>
        <v>0</v>
      </c>
      <c r="G58" s="102">
        <f t="shared" si="11"/>
        <v>0</v>
      </c>
      <c r="H58" s="126"/>
      <c r="I58" s="103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pans="1:20" ht="12.75" customHeight="1">
      <c r="A59" s="52"/>
      <c r="B59" s="53">
        <v>48600</v>
      </c>
      <c r="C59" s="56"/>
      <c r="D59" s="67" t="s">
        <v>80</v>
      </c>
      <c r="E59" s="106"/>
      <c r="F59" s="87">
        <f t="shared" si="9"/>
        <v>0</v>
      </c>
      <c r="G59" s="87">
        <f t="shared" si="11"/>
        <v>0</v>
      </c>
      <c r="H59" s="121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ht="12.75" customHeight="1">
      <c r="A60" s="52"/>
      <c r="B60" s="53">
        <v>62700</v>
      </c>
      <c r="C60" s="56"/>
      <c r="D60" s="67" t="s">
        <v>70</v>
      </c>
      <c r="E60" s="106"/>
      <c r="F60" s="87">
        <f t="shared" si="9"/>
        <v>0</v>
      </c>
      <c r="G60" s="87">
        <f t="shared" si="11"/>
        <v>0</v>
      </c>
      <c r="H60" s="121" t="str">
        <f t="shared" si="1"/>
        <v/>
      </c>
      <c r="I60" s="10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ht="12.75" customHeight="1">
      <c r="A61" s="52"/>
      <c r="B61" s="53">
        <v>61600</v>
      </c>
      <c r="C61" s="56"/>
      <c r="D61" s="67" t="s">
        <v>71</v>
      </c>
      <c r="E61" s="106"/>
      <c r="F61" s="87">
        <f t="shared" si="9"/>
        <v>0</v>
      </c>
      <c r="G61" s="87">
        <f t="shared" si="11"/>
        <v>0</v>
      </c>
      <c r="H61" s="121" t="str">
        <f t="shared" si="1"/>
        <v/>
      </c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</row>
    <row r="62" spans="1:20" ht="12.75" customHeight="1">
      <c r="A62" s="52"/>
      <c r="B62" s="53">
        <v>62260</v>
      </c>
      <c r="C62" s="56"/>
      <c r="D62" s="67" t="s">
        <v>72</v>
      </c>
      <c r="E62" s="106"/>
      <c r="F62" s="87">
        <f t="shared" si="9"/>
        <v>0</v>
      </c>
      <c r="G62" s="87">
        <f t="shared" si="11"/>
        <v>0</v>
      </c>
      <c r="H62" s="121" t="str">
        <f t="shared" si="1"/>
        <v/>
      </c>
      <c r="I62" s="107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</row>
    <row r="63" spans="1:20" ht="12.75" customHeight="1">
      <c r="A63" s="52"/>
      <c r="B63" s="49"/>
      <c r="C63" s="50" t="s">
        <v>73</v>
      </c>
      <c r="D63" s="51"/>
      <c r="E63" s="105">
        <f>SUM(E64)</f>
        <v>0</v>
      </c>
      <c r="F63" s="98">
        <f>SUM(I63:T63)</f>
        <v>0</v>
      </c>
      <c r="G63" s="98">
        <f>E63-F63</f>
        <v>0</v>
      </c>
      <c r="H63" s="125" t="str">
        <f t="shared" si="1"/>
        <v/>
      </c>
      <c r="I63" s="99">
        <f>SUM(I64)</f>
        <v>0</v>
      </c>
      <c r="J63" s="99">
        <f t="shared" ref="J63:T63" si="16">SUM(J64)</f>
        <v>0</v>
      </c>
      <c r="K63" s="99">
        <f t="shared" si="16"/>
        <v>0</v>
      </c>
      <c r="L63" s="99">
        <f t="shared" si="16"/>
        <v>0</v>
      </c>
      <c r="M63" s="99">
        <f t="shared" si="16"/>
        <v>0</v>
      </c>
      <c r="N63" s="99">
        <f t="shared" si="16"/>
        <v>0</v>
      </c>
      <c r="O63" s="99">
        <f t="shared" si="16"/>
        <v>0</v>
      </c>
      <c r="P63" s="99">
        <f t="shared" si="16"/>
        <v>0</v>
      </c>
      <c r="Q63" s="99">
        <f t="shared" si="16"/>
        <v>0</v>
      </c>
      <c r="R63" s="99">
        <f t="shared" si="16"/>
        <v>0</v>
      </c>
      <c r="S63" s="99">
        <f t="shared" si="16"/>
        <v>0</v>
      </c>
      <c r="T63" s="99">
        <f t="shared" si="16"/>
        <v>0</v>
      </c>
    </row>
    <row r="64" spans="1:20" ht="12.75" customHeight="1">
      <c r="A64" s="52"/>
      <c r="B64" s="53">
        <v>63300</v>
      </c>
      <c r="C64" s="56"/>
      <c r="D64" s="67" t="s">
        <v>74</v>
      </c>
      <c r="E64" s="106"/>
      <c r="F64" s="87">
        <f>I64+J64+K64+L64+M64+N64+O64+P64+Q64+R64+S64+T64</f>
        <v>0</v>
      </c>
      <c r="G64" s="87">
        <f t="shared" si="11"/>
        <v>0</v>
      </c>
      <c r="H64" s="121" t="str">
        <f t="shared" si="1"/>
        <v/>
      </c>
      <c r="I64" s="107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ht="12.75" customHeight="1">
      <c r="A65" s="52"/>
      <c r="B65" s="49"/>
      <c r="C65" s="50" t="s">
        <v>75</v>
      </c>
      <c r="D65" s="51"/>
      <c r="E65" s="105">
        <f>SUM(E66)</f>
        <v>0</v>
      </c>
      <c r="F65" s="98">
        <f>SUM(I65:T65)</f>
        <v>0</v>
      </c>
      <c r="G65" s="98">
        <f t="shared" si="11"/>
        <v>0</v>
      </c>
      <c r="H65" s="125" t="str">
        <f t="shared" si="1"/>
        <v/>
      </c>
      <c r="I65" s="99">
        <f>SUM(I66)</f>
        <v>0</v>
      </c>
      <c r="J65" s="99">
        <f t="shared" ref="J65:T65" si="17">SUM(J66)</f>
        <v>0</v>
      </c>
      <c r="K65" s="99">
        <f t="shared" si="17"/>
        <v>0</v>
      </c>
      <c r="L65" s="99">
        <f t="shared" si="17"/>
        <v>0</v>
      </c>
      <c r="M65" s="99">
        <f t="shared" si="17"/>
        <v>0</v>
      </c>
      <c r="N65" s="99">
        <f t="shared" si="17"/>
        <v>0</v>
      </c>
      <c r="O65" s="99">
        <f t="shared" si="17"/>
        <v>0</v>
      </c>
      <c r="P65" s="99">
        <f t="shared" si="17"/>
        <v>0</v>
      </c>
      <c r="Q65" s="99">
        <f t="shared" si="17"/>
        <v>0</v>
      </c>
      <c r="R65" s="99">
        <f t="shared" si="17"/>
        <v>0</v>
      </c>
      <c r="S65" s="99">
        <f t="shared" si="17"/>
        <v>0</v>
      </c>
      <c r="T65" s="99">
        <f t="shared" si="17"/>
        <v>0</v>
      </c>
    </row>
    <row r="66" spans="1:20" ht="12.75" customHeight="1">
      <c r="A66" s="52"/>
      <c r="B66" s="53">
        <v>68100</v>
      </c>
      <c r="C66" s="56"/>
      <c r="D66" s="67" t="s">
        <v>76</v>
      </c>
      <c r="E66" s="106"/>
      <c r="F66" s="87">
        <f t="shared" si="9"/>
        <v>0</v>
      </c>
      <c r="G66" s="87">
        <f t="shared" si="11"/>
        <v>0</v>
      </c>
      <c r="H66" s="121" t="str">
        <f t="shared" si="1"/>
        <v/>
      </c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>
      <c r="A67" s="58"/>
      <c r="B67" s="59" t="s">
        <v>77</v>
      </c>
      <c r="C67" s="59"/>
      <c r="D67" s="60"/>
      <c r="E67" s="109">
        <f>E31+E35+E39+E44+E49+E63+E65</f>
        <v>40684</v>
      </c>
      <c r="F67" s="110">
        <f>F31+F35+F39+F44+F49+F63+F65</f>
        <v>40252.409999999996</v>
      </c>
      <c r="G67" s="110">
        <f>G31+G35+G39+G44+G49+G63+G65</f>
        <v>431.59000000000378</v>
      </c>
      <c r="H67" s="127">
        <f t="shared" si="1"/>
        <v>0.98939165273817709</v>
      </c>
      <c r="I67" s="111">
        <f t="shared" ref="I67:T67" si="18">I31+I35+I39+I44+I49+I63+I65</f>
        <v>856.86</v>
      </c>
      <c r="J67" s="111">
        <f t="shared" si="18"/>
        <v>9623.380000000001</v>
      </c>
      <c r="K67" s="111">
        <f t="shared" si="18"/>
        <v>4825.74</v>
      </c>
      <c r="L67" s="111">
        <f t="shared" si="18"/>
        <v>4588.42</v>
      </c>
      <c r="M67" s="111">
        <f t="shared" si="18"/>
        <v>6598.6200000000008</v>
      </c>
      <c r="N67" s="111">
        <f t="shared" si="18"/>
        <v>2018.4399999999998</v>
      </c>
      <c r="O67" s="111">
        <f t="shared" si="18"/>
        <v>4191.51</v>
      </c>
      <c r="P67" s="111">
        <f t="shared" si="18"/>
        <v>2758.8399999999997</v>
      </c>
      <c r="Q67" s="111">
        <f t="shared" si="18"/>
        <v>4790.6000000000004</v>
      </c>
      <c r="R67" s="111">
        <f t="shared" si="18"/>
        <v>0</v>
      </c>
      <c r="S67" s="111">
        <f t="shared" si="18"/>
        <v>0</v>
      </c>
      <c r="T67" s="111">
        <f t="shared" si="18"/>
        <v>0</v>
      </c>
    </row>
    <row r="68" spans="1:20">
      <c r="B68" s="43"/>
      <c r="C68" s="44"/>
      <c r="D68" s="43"/>
      <c r="E68" s="112"/>
      <c r="F68" s="112"/>
      <c r="G68" s="112"/>
      <c r="H68" s="128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1:20">
      <c r="A69" s="61"/>
      <c r="B69" s="62" t="s">
        <v>78</v>
      </c>
      <c r="C69" s="62"/>
      <c r="D69" s="63"/>
      <c r="E69" s="113">
        <f>E28-E67</f>
        <v>0</v>
      </c>
      <c r="F69" s="114">
        <f>F28-F67</f>
        <v>7837.3400000000038</v>
      </c>
      <c r="G69" s="114">
        <f>G28-G67</f>
        <v>6974.1599999999971</v>
      </c>
      <c r="H69" s="129" t="str">
        <f t="shared" si="1"/>
        <v/>
      </c>
      <c r="I69" s="115">
        <f t="shared" ref="I69:T69" si="19">I28-I67</f>
        <v>-856.86</v>
      </c>
      <c r="J69" s="116">
        <f t="shared" si="19"/>
        <v>12121.32</v>
      </c>
      <c r="K69" s="116">
        <f t="shared" si="19"/>
        <v>-4825.74</v>
      </c>
      <c r="L69" s="116">
        <f t="shared" si="19"/>
        <v>596.07999999999993</v>
      </c>
      <c r="M69" s="116">
        <f t="shared" si="19"/>
        <v>3800.4299999999985</v>
      </c>
      <c r="N69" s="116">
        <f t="shared" si="19"/>
        <v>10.060000000000173</v>
      </c>
      <c r="O69" s="116">
        <f t="shared" si="19"/>
        <v>-3307.01</v>
      </c>
      <c r="P69" s="116">
        <f t="shared" si="19"/>
        <v>586.16000000000031</v>
      </c>
      <c r="Q69" s="116">
        <f t="shared" si="19"/>
        <v>-287.10000000000036</v>
      </c>
      <c r="R69" s="116">
        <f t="shared" si="19"/>
        <v>0</v>
      </c>
      <c r="S69" s="116">
        <f t="shared" si="19"/>
        <v>0</v>
      </c>
      <c r="T69" s="116">
        <f t="shared" si="19"/>
        <v>0</v>
      </c>
    </row>
  </sheetData>
  <mergeCells count="3">
    <mergeCell ref="B2:C2"/>
    <mergeCell ref="B4:C4"/>
    <mergeCell ref="E5:H5"/>
  </mergeCells>
  <conditionalFormatting sqref="H68">
    <cfRule type="iconSet" priority="1">
      <iconSet reverse="1">
        <cfvo type="percent" val="0"/>
        <cfvo type="num" val="0.8"/>
        <cfvo type="num" val="1"/>
      </iconSet>
    </cfRule>
  </conditionalFormatting>
  <printOptions horizontalCentered="1" verticalCentered="1"/>
  <pageMargins left="0.31496062992125984" right="0.31496062992125984" top="0.23622047244094491" bottom="0.19685039370078741" header="0.15748031496062992" footer="0.15748031496062992"/>
  <pageSetup paperSize="9" scale="59" orientation="landscape" verticalDpi="300" r:id="rId1"/>
  <rowBreaks count="1" manualBreakCount="1">
    <brk id="27" max="16383" man="1"/>
  </rowBreaks>
  <ignoredErrors>
    <ignoredError sqref="H69 F63:F64 F65 H67" formula="1"/>
    <ignoredError sqref="G10:G15 H10:H1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0" sqref="E10:E12"/>
    </sheetView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Modèle Budget 2017-2018</vt:lpstr>
      <vt:lpstr>Feuil1</vt:lpstr>
      <vt:lpstr>'Modèle Budget 2017-2018'!Impression_des_titres</vt:lpstr>
      <vt:lpstr>'Modèle Budget 2017-2018'!Zone_d_impression</vt:lpstr>
    </vt:vector>
  </TitlesOfParts>
  <Company>Banque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CHASSELOUP</dc:creator>
  <cp:lastModifiedBy>zardoz</cp:lastModifiedBy>
  <cp:lastPrinted>2017-10-03T19:35:13Z</cp:lastPrinted>
  <dcterms:created xsi:type="dcterms:W3CDTF">2017-05-02T14:08:14Z</dcterms:created>
  <dcterms:modified xsi:type="dcterms:W3CDTF">2018-06-14T14:19:22Z</dcterms:modified>
</cp:coreProperties>
</file>